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uflorida.sharepoint.com/teams/STEPAgribusiness/Shared Documents/Production Costs/Peanut/2025/"/>
    </mc:Choice>
  </mc:AlternateContent>
  <xr:revisionPtr revIDLastSave="5" documentId="8_{9A95CAAD-4336-46DF-9ED5-A7EE3F4B806D}" xr6:coauthVersionLast="47" xr6:coauthVersionMax="47" xr10:uidLastSave="{2A759D08-1BF1-43D5-B384-570A1B517BD8}"/>
  <bookViews>
    <workbookView xWindow="-25320" yWindow="195" windowWidth="25440" windowHeight="15390" tabRatio="786" activeTab="1" xr2:uid="{86C619DF-B97A-4BCD-B946-77042FAA969F}"/>
  </bookViews>
  <sheets>
    <sheet name="TemplateInfo" sheetId="1" r:id="rId1"/>
    <sheet name="BudgetSummary" sheetId="2" r:id="rId2"/>
    <sheet name="Marketing" sheetId="8" r:id="rId3"/>
    <sheet name="MaterialsUsed" sheetId="9" r:id="rId4"/>
    <sheet name="FieldOperations" sheetId="7" r:id="rId5"/>
    <sheet name="FieldBudgetProfile" sheetId="14" r:id="rId6"/>
    <sheet name="OperatingRates" sheetId="11" r:id="rId7"/>
    <sheet name="MaterialLists" sheetId="4" r:id="rId8"/>
    <sheet name="MachineryLists" sheetId="3" r:id="rId9"/>
    <sheet name="Coefficients" sheetId="13" r:id="rId10"/>
  </sheets>
  <definedNames>
    <definedName name="Acknowledgments">FieldBudgetProfile!$B$51</definedName>
    <definedName name="BudgetDescription">FieldBudgetProfile!$B$43</definedName>
    <definedName name="CashCropsPerYear">FieldBudgetProfile!$E$10</definedName>
    <definedName name="Coeff1">Coefficients!$C$7:$C$35</definedName>
    <definedName name="Coeff2">Coefficients!$D$7:$D$35</definedName>
    <definedName name="Coeff3">Coefficients!$E$7:$E$35</definedName>
    <definedName name="CustomCostPerAcre">FieldOperations!$G$62</definedName>
    <definedName name="CustomServices">CustomServiceTable[Custom Services]</definedName>
    <definedName name="DieselOR_CostPerGal">OperatingRates!$C$13</definedName>
    <definedName name="Electric_VarCostPerKWH">OperatingRates!$C$19</definedName>
    <definedName name="FertilizerCostPerAcre">MaterialsUsed!$G$22</definedName>
    <definedName name="Fertilizers">FertilizerTable[Fertilizers &amp; Lime]</definedName>
    <definedName name="FieldCostPerAcre">FieldBudgetProfile!$E$28</definedName>
    <definedName name="FuelElectric_TotalPerAcre">FieldOperations!$I$65</definedName>
    <definedName name="FuelTypes">FuelTable[Fuel Types]</definedName>
    <definedName name="FungicideCostPerAcre">MaterialsUsed!$G$40</definedName>
    <definedName name="Fungicides">FungicideTable[Fungicide Product Names]</definedName>
    <definedName name="HerbicideCostPerAcre">MaterialsUsed!$G$51</definedName>
    <definedName name="Herbicides">HerbicideTable[Herbicide Product Names]</definedName>
    <definedName name="Implements">ImplementTable[Machinery Description]</definedName>
    <definedName name="InsecticideCostPerAcre">MaterialsUsed!$G$61</definedName>
    <definedName name="Insecticides">InsecticideTable[Insecticide Product Names]</definedName>
    <definedName name="InterestRate_EffectiveOperating">OperatingRates!$C$24</definedName>
    <definedName name="InterestRate_Machinery">MachineryLists!$C$3</definedName>
    <definedName name="IrrigAcreInches">FieldOperations!$E$34</definedName>
    <definedName name="IrrigDieselLiftFeet">Coefficients!$B$43:$B$51</definedName>
    <definedName name="IrrigDieselPSI">Coefficients!$C$42:$I$42</definedName>
    <definedName name="IrrigDieselUseTable">Coefficients!$C$43:$I$51</definedName>
    <definedName name="IrrigElectricLiftFeet">Coefficients!$B$56:$B$64</definedName>
    <definedName name="IrrigElectricPSI">Coefficients!$C$55:$I$55</definedName>
    <definedName name="IrrigElectricUseTable">Coefficients!$C$56:$I$64</definedName>
    <definedName name="IrrigFixedCostPerAcre">FieldBudgetProfile!$F$40</definedName>
    <definedName name="IrrigPowerCost_TotalPerAcre">FieldOperations!$I$34</definedName>
    <definedName name="IrrigPowerCostPerAcreInch">FieldBudgetProfile!$B$16</definedName>
    <definedName name="IrrigPowerType">FieldBudgetProfile!$B$14</definedName>
    <definedName name="IrrigPumpPressure">FieldBudgetProfile!$E$12</definedName>
    <definedName name="IrrigRMCostPerAcreInch">FieldBudgetProfile!$C$16</definedName>
    <definedName name="IrrigWellDepth">FieldBudgetProfile!$D$12</definedName>
    <definedName name="LaborCost_TotalPerAcre">FieldOperations!$H$65</definedName>
    <definedName name="LaborTypes">LaborTable[Labor Types]</definedName>
    <definedName name="MachineCategories">Coefficients!$B$7:$B$35</definedName>
    <definedName name="MachineCoefficientTable">Coefficients!$B$7:$G$35</definedName>
    <definedName name="MachineryFixedCostPerAcre">FieldOperations!$N$25</definedName>
    <definedName name="NematicideCostPerAcre">MaterialsUsed!$G$67</definedName>
    <definedName name="Nematicides">NematicideTable[Nematicide Product Names]</definedName>
    <definedName name="OtherMaterialCostPerAcre">MaterialsUsed!$G$80</definedName>
    <definedName name="OtherMaterials">OtherMaterialTable[Other Materials]</definedName>
    <definedName name="Planted_Acres">FieldBudgetProfile!$E$8</definedName>
    <definedName name="RepF1">Coefficients!$F$7:$F$35</definedName>
    <definedName name="RepF2">Coefficients!$G$7:$G$35</definedName>
    <definedName name="RMCost_TotalPerAcre">FieldOperations!$J$65</definedName>
    <definedName name="SeedCostPerAcre">MaterialsUsed!$G$7</definedName>
    <definedName name="Seeds">SeedTable[Seed Varieties]</definedName>
    <definedName name="Tractors">TractorTable[Machinery Description]</definedName>
    <definedName name="VehicleFixedCostPerAcre">FieldOperations!$N$48</definedName>
    <definedName name="Vehicles">VehicleTable[Vehicle Description]</definedName>
    <definedName name="YieldPerAcre">Marketing!$C$4</definedName>
    <definedName name="YieldUnit">Marketing!#REF!</definedName>
    <definedName name="YieldUnit_Abbrev">Marketing!#REF!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4" l="1"/>
  <c r="E12" i="7"/>
  <c r="F12" i="7"/>
  <c r="E13" i="7"/>
  <c r="F13" i="7"/>
  <c r="E14" i="7"/>
  <c r="F14" i="7"/>
  <c r="E15" i="7"/>
  <c r="F15" i="7"/>
  <c r="F16" i="7"/>
  <c r="I105" i="3"/>
  <c r="J105" i="3"/>
  <c r="K105" i="3"/>
  <c r="L105" i="3"/>
  <c r="M105" i="3"/>
  <c r="N105" i="3"/>
  <c r="O105" i="3"/>
  <c r="I104" i="3"/>
  <c r="J104" i="3"/>
  <c r="K104" i="3"/>
  <c r="L104" i="3"/>
  <c r="M104" i="3"/>
  <c r="N104" i="3"/>
  <c r="O104" i="3"/>
  <c r="E10" i="7"/>
  <c r="E8" i="7"/>
  <c r="E9" i="7"/>
  <c r="E7" i="7"/>
  <c r="E24" i="7"/>
  <c r="E23" i="7"/>
  <c r="E22" i="7"/>
  <c r="E21" i="7"/>
  <c r="E20" i="7"/>
  <c r="E19" i="7"/>
  <c r="E18" i="7"/>
  <c r="E17" i="7"/>
  <c r="F11" i="7"/>
  <c r="F10" i="7"/>
  <c r="F9" i="7"/>
  <c r="F8" i="7"/>
  <c r="E49" i="9"/>
  <c r="G49" i="9"/>
  <c r="D49" i="9"/>
  <c r="C49" i="9"/>
  <c r="E6" i="7"/>
  <c r="E5" i="7"/>
  <c r="F24" i="7"/>
  <c r="F23" i="7"/>
  <c r="F22" i="7"/>
  <c r="F21" i="7"/>
  <c r="F20" i="7"/>
  <c r="F19" i="7"/>
  <c r="F18" i="7"/>
  <c r="F17" i="7"/>
  <c r="F7" i="7"/>
  <c r="F6" i="7"/>
  <c r="F5" i="7"/>
  <c r="E39" i="9"/>
  <c r="G39" i="9"/>
  <c r="D39" i="9"/>
  <c r="C39" i="9"/>
  <c r="E38" i="9"/>
  <c r="G38" i="9"/>
  <c r="D38" i="9"/>
  <c r="C38" i="9"/>
  <c r="E37" i="9"/>
  <c r="G37" i="9"/>
  <c r="D37" i="9"/>
  <c r="C37" i="9"/>
  <c r="E36" i="9"/>
  <c r="G36" i="9"/>
  <c r="D36" i="9"/>
  <c r="C36" i="9"/>
  <c r="E35" i="9"/>
  <c r="G35" i="9"/>
  <c r="D35" i="9"/>
  <c r="C35" i="9"/>
  <c r="E34" i="9"/>
  <c r="G34" i="9"/>
  <c r="D34" i="9"/>
  <c r="C34" i="9"/>
  <c r="E33" i="9"/>
  <c r="G33" i="9"/>
  <c r="D33" i="9"/>
  <c r="C33" i="9"/>
  <c r="E79" i="9"/>
  <c r="G79" i="9"/>
  <c r="E78" i="9"/>
  <c r="G78" i="9"/>
  <c r="E77" i="9"/>
  <c r="G77" i="9"/>
  <c r="E76" i="9"/>
  <c r="G76" i="9"/>
  <c r="E75" i="9"/>
  <c r="G75" i="9"/>
  <c r="E74" i="9"/>
  <c r="G74" i="9"/>
  <c r="E73" i="9"/>
  <c r="G73" i="9"/>
  <c r="H146" i="4"/>
  <c r="E72" i="9"/>
  <c r="G72" i="9"/>
  <c r="E71" i="9"/>
  <c r="G71" i="9"/>
  <c r="E70" i="9"/>
  <c r="G70" i="9"/>
  <c r="E66" i="9"/>
  <c r="G66" i="9"/>
  <c r="E65" i="9"/>
  <c r="G65" i="9"/>
  <c r="E64" i="9"/>
  <c r="G64" i="9"/>
  <c r="E60" i="9"/>
  <c r="G60" i="9"/>
  <c r="E59" i="9"/>
  <c r="G59" i="9"/>
  <c r="E58" i="9"/>
  <c r="G58" i="9"/>
  <c r="E57" i="9"/>
  <c r="G57" i="9"/>
  <c r="E56" i="9"/>
  <c r="G56" i="9"/>
  <c r="E55" i="9"/>
  <c r="G55" i="9"/>
  <c r="E54" i="9"/>
  <c r="G54" i="9"/>
  <c r="E27" i="9"/>
  <c r="G27" i="9"/>
  <c r="E21" i="9"/>
  <c r="G21" i="9"/>
  <c r="E20" i="9"/>
  <c r="G20" i="9"/>
  <c r="E19" i="9"/>
  <c r="G19" i="9"/>
  <c r="E18" i="9"/>
  <c r="G18" i="9"/>
  <c r="E17" i="9"/>
  <c r="G17" i="9"/>
  <c r="E15" i="9"/>
  <c r="G15" i="9"/>
  <c r="E11" i="9"/>
  <c r="G11" i="9"/>
  <c r="E10" i="9"/>
  <c r="G10" i="9"/>
  <c r="E6" i="9"/>
  <c r="G6" i="9"/>
  <c r="E5" i="9"/>
  <c r="G5" i="9"/>
  <c r="E50" i="9"/>
  <c r="G50" i="9"/>
  <c r="D50" i="9"/>
  <c r="C50" i="9"/>
  <c r="E48" i="9"/>
  <c r="G48" i="9"/>
  <c r="D48" i="9"/>
  <c r="C48" i="9"/>
  <c r="E47" i="9"/>
  <c r="G47" i="9"/>
  <c r="D47" i="9"/>
  <c r="C47" i="9"/>
  <c r="H91" i="4"/>
  <c r="E61" i="7"/>
  <c r="D61" i="7"/>
  <c r="C61" i="7"/>
  <c r="E60" i="7"/>
  <c r="D60" i="7"/>
  <c r="C60" i="7"/>
  <c r="E59" i="7"/>
  <c r="D59" i="7"/>
  <c r="C59" i="7"/>
  <c r="E58" i="7"/>
  <c r="D58" i="7"/>
  <c r="C58" i="7"/>
  <c r="E57" i="7"/>
  <c r="D57" i="7"/>
  <c r="C57" i="7"/>
  <c r="E56" i="7"/>
  <c r="D56" i="7"/>
  <c r="C56" i="7"/>
  <c r="E55" i="7"/>
  <c r="D55" i="7"/>
  <c r="C55" i="7"/>
  <c r="E54" i="7"/>
  <c r="D54" i="7"/>
  <c r="C54" i="7"/>
  <c r="E53" i="7"/>
  <c r="D53" i="7"/>
  <c r="C53" i="7"/>
  <c r="E52" i="7"/>
  <c r="D52" i="7"/>
  <c r="C52" i="7"/>
  <c r="D39" i="7"/>
  <c r="D38" i="7"/>
  <c r="M103" i="3"/>
  <c r="O103" i="3"/>
  <c r="K103" i="3"/>
  <c r="I103" i="3"/>
  <c r="J103" i="3"/>
  <c r="L103" i="3"/>
  <c r="N103" i="3"/>
  <c r="M102" i="3"/>
  <c r="O102" i="3"/>
  <c r="K102" i="3"/>
  <c r="I102" i="3"/>
  <c r="J102" i="3"/>
  <c r="L102" i="3"/>
  <c r="N102" i="3"/>
  <c r="M101" i="3"/>
  <c r="O101" i="3"/>
  <c r="K101" i="3"/>
  <c r="I101" i="3"/>
  <c r="J101" i="3"/>
  <c r="M100" i="3"/>
  <c r="O100" i="3"/>
  <c r="K100" i="3"/>
  <c r="I100" i="3"/>
  <c r="J100" i="3"/>
  <c r="L100" i="3"/>
  <c r="N100" i="3"/>
  <c r="M99" i="3"/>
  <c r="O99" i="3"/>
  <c r="K99" i="3"/>
  <c r="I99" i="3"/>
  <c r="J99" i="3"/>
  <c r="M98" i="3"/>
  <c r="O98" i="3"/>
  <c r="K98" i="3"/>
  <c r="I98" i="3"/>
  <c r="J98" i="3"/>
  <c r="L98" i="3"/>
  <c r="N98" i="3"/>
  <c r="M97" i="3"/>
  <c r="O97" i="3"/>
  <c r="K97" i="3"/>
  <c r="I97" i="3"/>
  <c r="J97" i="3"/>
  <c r="M96" i="3"/>
  <c r="O96" i="3"/>
  <c r="K96" i="3"/>
  <c r="I96" i="3"/>
  <c r="J96" i="3"/>
  <c r="M95" i="3"/>
  <c r="O95" i="3"/>
  <c r="K95" i="3"/>
  <c r="I95" i="3"/>
  <c r="J95" i="3"/>
  <c r="L95" i="3"/>
  <c r="N95" i="3"/>
  <c r="M94" i="3"/>
  <c r="O94" i="3"/>
  <c r="K94" i="3"/>
  <c r="I94" i="3"/>
  <c r="J94" i="3"/>
  <c r="L94" i="3"/>
  <c r="N94" i="3"/>
  <c r="M93" i="3"/>
  <c r="O93" i="3"/>
  <c r="K93" i="3"/>
  <c r="I93" i="3"/>
  <c r="J93" i="3"/>
  <c r="L93" i="3"/>
  <c r="N93" i="3"/>
  <c r="M92" i="3"/>
  <c r="O92" i="3"/>
  <c r="K92" i="3"/>
  <c r="I92" i="3"/>
  <c r="J92" i="3"/>
  <c r="M91" i="3"/>
  <c r="O91" i="3"/>
  <c r="K91" i="3"/>
  <c r="I91" i="3"/>
  <c r="J91" i="3"/>
  <c r="M90" i="3"/>
  <c r="O90" i="3"/>
  <c r="K90" i="3"/>
  <c r="I90" i="3"/>
  <c r="J90" i="3"/>
  <c r="L90" i="3"/>
  <c r="N90" i="3"/>
  <c r="M89" i="3"/>
  <c r="O89" i="3"/>
  <c r="K89" i="3"/>
  <c r="I89" i="3"/>
  <c r="J89" i="3"/>
  <c r="L89" i="3"/>
  <c r="N89" i="3"/>
  <c r="M88" i="3"/>
  <c r="O88" i="3"/>
  <c r="K88" i="3"/>
  <c r="I88" i="3"/>
  <c r="J88" i="3"/>
  <c r="L88" i="3"/>
  <c r="N88" i="3"/>
  <c r="M87" i="3"/>
  <c r="O87" i="3"/>
  <c r="K87" i="3"/>
  <c r="I87" i="3"/>
  <c r="J87" i="3"/>
  <c r="M86" i="3"/>
  <c r="O86" i="3"/>
  <c r="K86" i="3"/>
  <c r="I86" i="3"/>
  <c r="J86" i="3"/>
  <c r="L86" i="3"/>
  <c r="N86" i="3"/>
  <c r="M85" i="3"/>
  <c r="O85" i="3"/>
  <c r="K85" i="3"/>
  <c r="I85" i="3"/>
  <c r="J85" i="3"/>
  <c r="M84" i="3"/>
  <c r="O84" i="3"/>
  <c r="K84" i="3"/>
  <c r="I84" i="3"/>
  <c r="J84" i="3"/>
  <c r="L84" i="3"/>
  <c r="N84" i="3"/>
  <c r="M83" i="3"/>
  <c r="O83" i="3"/>
  <c r="K83" i="3"/>
  <c r="I83" i="3"/>
  <c r="J83" i="3"/>
  <c r="M82" i="3"/>
  <c r="O82" i="3"/>
  <c r="K82" i="3"/>
  <c r="I82" i="3"/>
  <c r="J82" i="3"/>
  <c r="L82" i="3"/>
  <c r="N82" i="3"/>
  <c r="M81" i="3"/>
  <c r="O81" i="3"/>
  <c r="K81" i="3"/>
  <c r="I81" i="3"/>
  <c r="J81" i="3"/>
  <c r="M80" i="3"/>
  <c r="O80" i="3"/>
  <c r="K80" i="3"/>
  <c r="I80" i="3"/>
  <c r="J80" i="3"/>
  <c r="L80" i="3"/>
  <c r="N80" i="3"/>
  <c r="M79" i="3"/>
  <c r="O79" i="3"/>
  <c r="K79" i="3"/>
  <c r="I79" i="3"/>
  <c r="J79" i="3"/>
  <c r="M78" i="3"/>
  <c r="O78" i="3"/>
  <c r="K78" i="3"/>
  <c r="I78" i="3"/>
  <c r="J78" i="3"/>
  <c r="L78" i="3"/>
  <c r="N78" i="3"/>
  <c r="M77" i="3"/>
  <c r="O77" i="3"/>
  <c r="K77" i="3"/>
  <c r="I77" i="3"/>
  <c r="J77" i="3"/>
  <c r="L77" i="3"/>
  <c r="N77" i="3"/>
  <c r="M76" i="3"/>
  <c r="O76" i="3"/>
  <c r="K76" i="3"/>
  <c r="I76" i="3"/>
  <c r="J76" i="3"/>
  <c r="L76" i="3"/>
  <c r="N76" i="3"/>
  <c r="M75" i="3"/>
  <c r="O75" i="3"/>
  <c r="K75" i="3"/>
  <c r="I75" i="3"/>
  <c r="J75" i="3"/>
  <c r="M74" i="3"/>
  <c r="O74" i="3"/>
  <c r="K74" i="3"/>
  <c r="I74" i="3"/>
  <c r="J74" i="3"/>
  <c r="M73" i="3"/>
  <c r="O73" i="3"/>
  <c r="K73" i="3"/>
  <c r="I73" i="3"/>
  <c r="J73" i="3"/>
  <c r="L73" i="3"/>
  <c r="N73" i="3"/>
  <c r="M72" i="3"/>
  <c r="O72" i="3"/>
  <c r="K72" i="3"/>
  <c r="I72" i="3"/>
  <c r="J72" i="3"/>
  <c r="M71" i="3"/>
  <c r="O71" i="3"/>
  <c r="K71" i="3"/>
  <c r="I71" i="3"/>
  <c r="J71" i="3"/>
  <c r="L71" i="3"/>
  <c r="N71" i="3"/>
  <c r="M70" i="3"/>
  <c r="O70" i="3"/>
  <c r="K70" i="3"/>
  <c r="I70" i="3"/>
  <c r="J70" i="3"/>
  <c r="M69" i="3"/>
  <c r="O69" i="3"/>
  <c r="K69" i="3"/>
  <c r="I69" i="3"/>
  <c r="J69" i="3"/>
  <c r="L69" i="3"/>
  <c r="N69" i="3"/>
  <c r="M68" i="3"/>
  <c r="O68" i="3"/>
  <c r="K68" i="3"/>
  <c r="I68" i="3"/>
  <c r="J68" i="3"/>
  <c r="M67" i="3"/>
  <c r="O67" i="3"/>
  <c r="K67" i="3"/>
  <c r="I67" i="3"/>
  <c r="J67" i="3"/>
  <c r="L67" i="3"/>
  <c r="N67" i="3"/>
  <c r="M66" i="3"/>
  <c r="O66" i="3"/>
  <c r="K66" i="3"/>
  <c r="I66" i="3"/>
  <c r="J66" i="3"/>
  <c r="L66" i="3"/>
  <c r="N66" i="3"/>
  <c r="M65" i="3"/>
  <c r="O65" i="3"/>
  <c r="K65" i="3"/>
  <c r="I65" i="3"/>
  <c r="J65" i="3"/>
  <c r="M64" i="3"/>
  <c r="O64" i="3"/>
  <c r="K64" i="3"/>
  <c r="I64" i="3"/>
  <c r="J64" i="3"/>
  <c r="M63" i="3"/>
  <c r="O63" i="3"/>
  <c r="K63" i="3"/>
  <c r="I63" i="3"/>
  <c r="J63" i="3"/>
  <c r="L63" i="3"/>
  <c r="N63" i="3"/>
  <c r="M62" i="3"/>
  <c r="O62" i="3"/>
  <c r="K62" i="3"/>
  <c r="I62" i="3"/>
  <c r="J62" i="3"/>
  <c r="L62" i="3"/>
  <c r="N62" i="3"/>
  <c r="M61" i="3"/>
  <c r="O61" i="3"/>
  <c r="K61" i="3"/>
  <c r="I61" i="3"/>
  <c r="J61" i="3"/>
  <c r="L81" i="3"/>
  <c r="N81" i="3"/>
  <c r="L85" i="3"/>
  <c r="N85" i="3"/>
  <c r="L97" i="3"/>
  <c r="N97" i="3"/>
  <c r="L70" i="3"/>
  <c r="N70" i="3"/>
  <c r="L74" i="3"/>
  <c r="N74" i="3"/>
  <c r="L64" i="3"/>
  <c r="N64" i="3"/>
  <c r="L79" i="3"/>
  <c r="N79" i="3"/>
  <c r="L83" i="3"/>
  <c r="N83" i="3"/>
  <c r="L61" i="3"/>
  <c r="N61" i="3"/>
  <c r="L68" i="3"/>
  <c r="N68" i="3"/>
  <c r="L72" i="3"/>
  <c r="N72" i="3"/>
  <c r="L92" i="3"/>
  <c r="N92" i="3"/>
  <c r="L96" i="3"/>
  <c r="N96" i="3"/>
  <c r="L65" i="3"/>
  <c r="N65" i="3"/>
  <c r="L101" i="3"/>
  <c r="N101" i="3"/>
  <c r="L75" i="3"/>
  <c r="N75" i="3"/>
  <c r="L87" i="3"/>
  <c r="N87" i="3"/>
  <c r="L99" i="3"/>
  <c r="N99" i="3"/>
  <c r="L91" i="3"/>
  <c r="N91" i="3"/>
  <c r="C28" i="8"/>
  <c r="C27" i="8"/>
  <c r="C26" i="8"/>
  <c r="C29" i="8"/>
  <c r="E35" i="2"/>
  <c r="C23" i="8"/>
  <c r="D15" i="8"/>
  <c r="D14" i="8"/>
  <c r="D13" i="8"/>
  <c r="M60" i="3"/>
  <c r="O60" i="3"/>
  <c r="I60" i="3"/>
  <c r="J60" i="3"/>
  <c r="K60" i="3"/>
  <c r="L60" i="3"/>
  <c r="N60" i="3"/>
  <c r="M59" i="3"/>
  <c r="O59" i="3"/>
  <c r="I59" i="3"/>
  <c r="J59" i="3"/>
  <c r="K59" i="3"/>
  <c r="M58" i="3"/>
  <c r="O58" i="3"/>
  <c r="I58" i="3"/>
  <c r="J58" i="3"/>
  <c r="K58" i="3"/>
  <c r="M57" i="3"/>
  <c r="O57" i="3"/>
  <c r="I57" i="3"/>
  <c r="J57" i="3"/>
  <c r="K57" i="3"/>
  <c r="M56" i="3"/>
  <c r="O56" i="3"/>
  <c r="I56" i="3"/>
  <c r="J56" i="3"/>
  <c r="K56" i="3"/>
  <c r="L56" i="3"/>
  <c r="N56" i="3"/>
  <c r="M55" i="3"/>
  <c r="O55" i="3"/>
  <c r="I55" i="3"/>
  <c r="J55" i="3"/>
  <c r="K55" i="3"/>
  <c r="M54" i="3"/>
  <c r="O54" i="3"/>
  <c r="I54" i="3"/>
  <c r="J54" i="3"/>
  <c r="K54" i="3"/>
  <c r="L54" i="3"/>
  <c r="N54" i="3"/>
  <c r="M53" i="3"/>
  <c r="O53" i="3"/>
  <c r="I53" i="3"/>
  <c r="J53" i="3"/>
  <c r="K53" i="3"/>
  <c r="M52" i="3"/>
  <c r="O52" i="3"/>
  <c r="I52" i="3"/>
  <c r="J52" i="3"/>
  <c r="K52" i="3"/>
  <c r="L52" i="3"/>
  <c r="N52" i="3"/>
  <c r="M51" i="3"/>
  <c r="O51" i="3"/>
  <c r="I51" i="3"/>
  <c r="J51" i="3"/>
  <c r="K51" i="3"/>
  <c r="L51" i="3"/>
  <c r="N51" i="3"/>
  <c r="M50" i="3"/>
  <c r="O50" i="3"/>
  <c r="I50" i="3"/>
  <c r="J50" i="3"/>
  <c r="K50" i="3"/>
  <c r="L50" i="3"/>
  <c r="N50" i="3"/>
  <c r="M49" i="3"/>
  <c r="O49" i="3"/>
  <c r="I49" i="3"/>
  <c r="J49" i="3"/>
  <c r="K49" i="3"/>
  <c r="L49" i="3"/>
  <c r="N49" i="3"/>
  <c r="M48" i="3"/>
  <c r="O48" i="3"/>
  <c r="I48" i="3"/>
  <c r="J48" i="3"/>
  <c r="K48" i="3"/>
  <c r="L48" i="3"/>
  <c r="N48" i="3"/>
  <c r="M47" i="3"/>
  <c r="O47" i="3"/>
  <c r="I47" i="3"/>
  <c r="J47" i="3"/>
  <c r="K47" i="3"/>
  <c r="M46" i="3"/>
  <c r="O46" i="3"/>
  <c r="I46" i="3"/>
  <c r="J46" i="3"/>
  <c r="K46" i="3"/>
  <c r="M45" i="3"/>
  <c r="O45" i="3"/>
  <c r="I45" i="3"/>
  <c r="J45" i="3"/>
  <c r="K45" i="3"/>
  <c r="L45" i="3"/>
  <c r="N45" i="3"/>
  <c r="M44" i="3"/>
  <c r="O44" i="3"/>
  <c r="I44" i="3"/>
  <c r="J44" i="3"/>
  <c r="K44" i="3"/>
  <c r="M43" i="3"/>
  <c r="O43" i="3"/>
  <c r="I43" i="3"/>
  <c r="J43" i="3"/>
  <c r="K43" i="3"/>
  <c r="M42" i="3"/>
  <c r="O42" i="3"/>
  <c r="I42" i="3"/>
  <c r="J42" i="3"/>
  <c r="K42" i="3"/>
  <c r="M41" i="3"/>
  <c r="O41" i="3"/>
  <c r="I41" i="3"/>
  <c r="J41" i="3"/>
  <c r="K41" i="3"/>
  <c r="M40" i="3"/>
  <c r="O40" i="3"/>
  <c r="I40" i="3"/>
  <c r="J40" i="3"/>
  <c r="K40" i="3"/>
  <c r="L40" i="3"/>
  <c r="N40" i="3"/>
  <c r="M39" i="3"/>
  <c r="O39" i="3"/>
  <c r="I39" i="3"/>
  <c r="J39" i="3"/>
  <c r="K39" i="3"/>
  <c r="M38" i="3"/>
  <c r="O38" i="3"/>
  <c r="I38" i="3"/>
  <c r="J38" i="3"/>
  <c r="K38" i="3"/>
  <c r="M37" i="3"/>
  <c r="O37" i="3"/>
  <c r="I37" i="3"/>
  <c r="J37" i="3"/>
  <c r="K37" i="3"/>
  <c r="L37" i="3"/>
  <c r="N37" i="3"/>
  <c r="M36" i="3"/>
  <c r="O36" i="3"/>
  <c r="I36" i="3"/>
  <c r="J36" i="3"/>
  <c r="K36" i="3"/>
  <c r="L36" i="3"/>
  <c r="N36" i="3"/>
  <c r="M35" i="3"/>
  <c r="O35" i="3"/>
  <c r="I35" i="3"/>
  <c r="J35" i="3"/>
  <c r="K35" i="3"/>
  <c r="M34" i="3"/>
  <c r="O34" i="3"/>
  <c r="I34" i="3"/>
  <c r="J34" i="3"/>
  <c r="K34" i="3"/>
  <c r="L34" i="3"/>
  <c r="N34" i="3"/>
  <c r="M33" i="3"/>
  <c r="O33" i="3"/>
  <c r="I33" i="3"/>
  <c r="J33" i="3"/>
  <c r="K33" i="3"/>
  <c r="M32" i="3"/>
  <c r="O32" i="3"/>
  <c r="I32" i="3"/>
  <c r="J32" i="3"/>
  <c r="K32" i="3"/>
  <c r="M31" i="3"/>
  <c r="O31" i="3"/>
  <c r="I31" i="3"/>
  <c r="J31" i="3"/>
  <c r="K31" i="3"/>
  <c r="M30" i="3"/>
  <c r="O30" i="3"/>
  <c r="I30" i="3"/>
  <c r="J30" i="3"/>
  <c r="K30" i="3"/>
  <c r="M29" i="3"/>
  <c r="O29" i="3"/>
  <c r="I29" i="3"/>
  <c r="J29" i="3"/>
  <c r="K29" i="3"/>
  <c r="M28" i="3"/>
  <c r="O28" i="3"/>
  <c r="I28" i="3"/>
  <c r="J28" i="3"/>
  <c r="K28" i="3"/>
  <c r="L28" i="3"/>
  <c r="N28" i="3"/>
  <c r="M27" i="3"/>
  <c r="O27" i="3"/>
  <c r="I27" i="3"/>
  <c r="J27" i="3"/>
  <c r="K27" i="3"/>
  <c r="C6" i="8"/>
  <c r="E31" i="2" s="1"/>
  <c r="D29" i="8"/>
  <c r="D9" i="8"/>
  <c r="D10" i="8"/>
  <c r="D11" i="8"/>
  <c r="D12" i="8"/>
  <c r="D16" i="8"/>
  <c r="J110" i="3"/>
  <c r="L110" i="3"/>
  <c r="N110" i="3"/>
  <c r="N38" i="7"/>
  <c r="J111" i="3"/>
  <c r="L111" i="3"/>
  <c r="N111" i="3"/>
  <c r="N39" i="7"/>
  <c r="N40" i="7"/>
  <c r="N41" i="7"/>
  <c r="N42" i="7"/>
  <c r="N43" i="7"/>
  <c r="N44" i="7"/>
  <c r="N45" i="7"/>
  <c r="N46" i="7"/>
  <c r="N47" i="7"/>
  <c r="N48" i="7"/>
  <c r="I18" i="3"/>
  <c r="J18" i="3"/>
  <c r="K18" i="3"/>
  <c r="L18" i="3"/>
  <c r="N18" i="3"/>
  <c r="L31" i="3"/>
  <c r="N31" i="3"/>
  <c r="N5" i="7"/>
  <c r="I16" i="3"/>
  <c r="J16" i="3"/>
  <c r="K16" i="3"/>
  <c r="L16" i="3"/>
  <c r="N16" i="3"/>
  <c r="N6" i="7"/>
  <c r="I7" i="3"/>
  <c r="J7" i="3"/>
  <c r="K7" i="3"/>
  <c r="L7" i="3"/>
  <c r="N7" i="3"/>
  <c r="I17" i="3"/>
  <c r="J17" i="3"/>
  <c r="K17" i="3"/>
  <c r="L17" i="3"/>
  <c r="N17" i="3"/>
  <c r="N7" i="7"/>
  <c r="N8" i="7"/>
  <c r="N9" i="7"/>
  <c r="N10" i="7"/>
  <c r="P22" i="3"/>
  <c r="I11" i="7"/>
  <c r="N12" i="7"/>
  <c r="N13" i="7"/>
  <c r="P17" i="3"/>
  <c r="I14" i="7"/>
  <c r="I13" i="3"/>
  <c r="J13" i="3"/>
  <c r="K13" i="3"/>
  <c r="L13" i="3"/>
  <c r="N13" i="3"/>
  <c r="N15" i="7"/>
  <c r="N16" i="7"/>
  <c r="N17" i="7"/>
  <c r="N19" i="7"/>
  <c r="N20" i="7"/>
  <c r="N21" i="7"/>
  <c r="N22" i="7"/>
  <c r="N23" i="7"/>
  <c r="N24" i="7"/>
  <c r="E39" i="14"/>
  <c r="E40" i="14" s="1"/>
  <c r="E27" i="14"/>
  <c r="E26" i="14"/>
  <c r="E25" i="14"/>
  <c r="E28" i="14" s="1"/>
  <c r="E26" i="2" s="1"/>
  <c r="E24" i="14"/>
  <c r="E23" i="14"/>
  <c r="E22" i="14"/>
  <c r="H26" i="4"/>
  <c r="H132" i="4"/>
  <c r="H131" i="4"/>
  <c r="H130" i="4"/>
  <c r="H129" i="4"/>
  <c r="H128" i="4"/>
  <c r="H127" i="4"/>
  <c r="H126" i="4"/>
  <c r="H125" i="4"/>
  <c r="H124" i="4"/>
  <c r="H123" i="4"/>
  <c r="H122" i="4"/>
  <c r="H121" i="4"/>
  <c r="H120" i="4"/>
  <c r="H119" i="4"/>
  <c r="H118" i="4"/>
  <c r="H117" i="4"/>
  <c r="H116" i="4"/>
  <c r="H115" i="4"/>
  <c r="H114" i="4"/>
  <c r="H92"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E25" i="9"/>
  <c r="E44" i="9"/>
  <c r="G44" i="9"/>
  <c r="E45" i="9"/>
  <c r="G45" i="9"/>
  <c r="M7" i="3"/>
  <c r="O7" i="3"/>
  <c r="M8" i="3"/>
  <c r="M9" i="3"/>
  <c r="O9" i="3"/>
  <c r="M10" i="3"/>
  <c r="O10" i="3"/>
  <c r="M11" i="3"/>
  <c r="O11" i="3"/>
  <c r="M12" i="3"/>
  <c r="O12" i="3"/>
  <c r="M13" i="3"/>
  <c r="M14" i="3"/>
  <c r="O14" i="3"/>
  <c r="M15" i="3"/>
  <c r="M16" i="3"/>
  <c r="M17" i="3"/>
  <c r="O17" i="3"/>
  <c r="M18" i="3"/>
  <c r="M19" i="3"/>
  <c r="M20" i="3"/>
  <c r="O20" i="3"/>
  <c r="M21" i="3"/>
  <c r="O21" i="3"/>
  <c r="M22" i="3"/>
  <c r="O22" i="3"/>
  <c r="M23" i="3"/>
  <c r="O23" i="3"/>
  <c r="P7" i="3"/>
  <c r="P8" i="3"/>
  <c r="P9" i="3"/>
  <c r="P10" i="3"/>
  <c r="P11" i="3"/>
  <c r="P12" i="3"/>
  <c r="P13" i="3"/>
  <c r="P14" i="3"/>
  <c r="P15" i="3"/>
  <c r="P16" i="3"/>
  <c r="P18" i="3"/>
  <c r="P19" i="3"/>
  <c r="P20" i="3"/>
  <c r="P21" i="3"/>
  <c r="P23" i="3"/>
  <c r="J47" i="7"/>
  <c r="D47" i="7"/>
  <c r="I47" i="7"/>
  <c r="J46" i="7"/>
  <c r="D46" i="7"/>
  <c r="I46" i="7"/>
  <c r="J45" i="7"/>
  <c r="D45" i="7"/>
  <c r="I45" i="7"/>
  <c r="H45" i="7"/>
  <c r="J44" i="7"/>
  <c r="D44" i="7"/>
  <c r="I44" i="7"/>
  <c r="J43" i="7"/>
  <c r="D43" i="7"/>
  <c r="I43" i="7"/>
  <c r="J42" i="7"/>
  <c r="D42" i="7"/>
  <c r="I42" i="7"/>
  <c r="J41" i="7"/>
  <c r="D41" i="7"/>
  <c r="I41" i="7"/>
  <c r="O111" i="3"/>
  <c r="J40" i="7"/>
  <c r="O110" i="3"/>
  <c r="J38" i="7"/>
  <c r="J39" i="7"/>
  <c r="J48" i="7"/>
  <c r="J14" i="7"/>
  <c r="J13" i="7"/>
  <c r="O13" i="3"/>
  <c r="J15" i="7"/>
  <c r="O18" i="3"/>
  <c r="J5" i="7"/>
  <c r="O16" i="3"/>
  <c r="J6" i="7"/>
  <c r="J7" i="7"/>
  <c r="J8" i="7"/>
  <c r="J9" i="7"/>
  <c r="J10" i="7"/>
  <c r="J11" i="7"/>
  <c r="J12" i="7"/>
  <c r="J16" i="7"/>
  <c r="J17" i="7"/>
  <c r="J18" i="7"/>
  <c r="J19" i="7"/>
  <c r="J20" i="7"/>
  <c r="J21" i="7"/>
  <c r="J22" i="7"/>
  <c r="J23" i="7"/>
  <c r="J24" i="7"/>
  <c r="J25" i="7"/>
  <c r="J29" i="7"/>
  <c r="J30" i="7"/>
  <c r="J31" i="7"/>
  <c r="D40" i="7"/>
  <c r="I40" i="7"/>
  <c r="I39" i="7"/>
  <c r="I38" i="7"/>
  <c r="H47" i="7"/>
  <c r="H46" i="7"/>
  <c r="H44" i="7"/>
  <c r="H43" i="7"/>
  <c r="H42" i="7"/>
  <c r="H41" i="7"/>
  <c r="H40" i="7"/>
  <c r="H38" i="7"/>
  <c r="H39" i="7"/>
  <c r="H48" i="7"/>
  <c r="H5" i="7"/>
  <c r="H6" i="7"/>
  <c r="H8" i="7"/>
  <c r="H9" i="7"/>
  <c r="H11" i="7"/>
  <c r="H12" i="7"/>
  <c r="H13" i="7"/>
  <c r="H14" i="7"/>
  <c r="H15" i="7"/>
  <c r="H10" i="7"/>
  <c r="H7" i="7"/>
  <c r="H16" i="7"/>
  <c r="H17" i="7"/>
  <c r="H18" i="7"/>
  <c r="H19" i="7"/>
  <c r="H20" i="7"/>
  <c r="H21" i="7"/>
  <c r="H22" i="7"/>
  <c r="H23" i="7"/>
  <c r="H24" i="7"/>
  <c r="H25" i="7"/>
  <c r="G55" i="7"/>
  <c r="B63" i="2"/>
  <c r="G80" i="9"/>
  <c r="E13" i="2"/>
  <c r="F13" i="2" s="1"/>
  <c r="D19" i="9"/>
  <c r="C19" i="9"/>
  <c r="H45" i="4"/>
  <c r="D18" i="9"/>
  <c r="C18" i="9"/>
  <c r="C14" i="9"/>
  <c r="D14" i="9"/>
  <c r="H42" i="4"/>
  <c r="E14" i="9"/>
  <c r="G14" i="9"/>
  <c r="C15" i="9"/>
  <c r="D15" i="9"/>
  <c r="H55" i="4"/>
  <c r="C16" i="9"/>
  <c r="D16" i="9"/>
  <c r="H22" i="4"/>
  <c r="E16" i="9"/>
  <c r="G16" i="9"/>
  <c r="C12" i="9"/>
  <c r="D12" i="9"/>
  <c r="H48" i="4"/>
  <c r="E13" i="9"/>
  <c r="G13" i="9"/>
  <c r="E12" i="9"/>
  <c r="G12" i="9"/>
  <c r="C13" i="9"/>
  <c r="D13" i="9"/>
  <c r="H40" i="4"/>
  <c r="H25" i="4"/>
  <c r="I18" i="7"/>
  <c r="E4" i="9"/>
  <c r="G52" i="7"/>
  <c r="G53" i="7"/>
  <c r="G54" i="7"/>
  <c r="G57" i="7"/>
  <c r="G58" i="7"/>
  <c r="G59" i="7"/>
  <c r="G60" i="7"/>
  <c r="G61" i="7"/>
  <c r="B55" i="2"/>
  <c r="B50" i="2"/>
  <c r="E47" i="2"/>
  <c r="F47" i="2" s="1"/>
  <c r="H31" i="4"/>
  <c r="H57" i="4"/>
  <c r="C39" i="14"/>
  <c r="F39" i="14" s="1"/>
  <c r="F40" i="14" s="1"/>
  <c r="E24" i="2" s="1"/>
  <c r="F24" i="2" s="1"/>
  <c r="D39" i="14"/>
  <c r="D40" i="14" s="1"/>
  <c r="E34" i="7"/>
  <c r="H32" i="7"/>
  <c r="H33" i="7"/>
  <c r="F34" i="7"/>
  <c r="I30" i="7"/>
  <c r="J32" i="7"/>
  <c r="J33" i="7"/>
  <c r="I31" i="7"/>
  <c r="E14" i="14"/>
  <c r="B16" i="14"/>
  <c r="I29" i="7"/>
  <c r="I32" i="7"/>
  <c r="I33" i="7"/>
  <c r="D14" i="14"/>
  <c r="F6" i="2"/>
  <c r="G6" i="2"/>
  <c r="D6" i="2"/>
  <c r="B6" i="2"/>
  <c r="B4" i="2"/>
  <c r="B3" i="2"/>
  <c r="C17" i="8"/>
  <c r="H145" i="4"/>
  <c r="D79" i="9"/>
  <c r="C79" i="9"/>
  <c r="D78" i="9"/>
  <c r="C78" i="9"/>
  <c r="D77" i="9"/>
  <c r="C77" i="9"/>
  <c r="D76" i="9"/>
  <c r="C76" i="9"/>
  <c r="D75" i="9"/>
  <c r="C75" i="9"/>
  <c r="D74" i="9"/>
  <c r="C74" i="9"/>
  <c r="D73" i="9"/>
  <c r="C73" i="9"/>
  <c r="D72" i="9"/>
  <c r="C72" i="9"/>
  <c r="D71" i="9"/>
  <c r="C71" i="9"/>
  <c r="D70" i="9"/>
  <c r="C70" i="9"/>
  <c r="D66" i="9"/>
  <c r="C66" i="9"/>
  <c r="D65" i="9"/>
  <c r="C65" i="9"/>
  <c r="D64" i="9"/>
  <c r="C64" i="9"/>
  <c r="D60" i="9"/>
  <c r="C60" i="9"/>
  <c r="D59" i="9"/>
  <c r="C59" i="9"/>
  <c r="D58" i="9"/>
  <c r="C58" i="9"/>
  <c r="D57" i="9"/>
  <c r="C57" i="9"/>
  <c r="D56" i="9"/>
  <c r="C56" i="9"/>
  <c r="D55" i="9"/>
  <c r="C55" i="9"/>
  <c r="D54" i="9"/>
  <c r="C54" i="9"/>
  <c r="E46" i="9"/>
  <c r="G46" i="9"/>
  <c r="D46" i="9"/>
  <c r="C46" i="9"/>
  <c r="H97" i="4"/>
  <c r="D45" i="9"/>
  <c r="C45" i="9"/>
  <c r="H104" i="4"/>
  <c r="D44" i="9"/>
  <c r="C44" i="9"/>
  <c r="D43" i="9"/>
  <c r="C43" i="9"/>
  <c r="E32" i="9"/>
  <c r="G32" i="9"/>
  <c r="D32" i="9"/>
  <c r="C32" i="9"/>
  <c r="E31" i="9"/>
  <c r="G31" i="9"/>
  <c r="D31" i="9"/>
  <c r="C31" i="9"/>
  <c r="E30" i="9"/>
  <c r="G30" i="9"/>
  <c r="D30" i="9"/>
  <c r="C30" i="9"/>
  <c r="E29" i="9"/>
  <c r="G29" i="9"/>
  <c r="D29" i="9"/>
  <c r="C29" i="9"/>
  <c r="E28" i="9"/>
  <c r="G28" i="9"/>
  <c r="D28" i="9"/>
  <c r="C28" i="9"/>
  <c r="D27" i="9"/>
  <c r="C27" i="9"/>
  <c r="E26" i="9"/>
  <c r="G26" i="9"/>
  <c r="D26" i="9"/>
  <c r="C26" i="9"/>
  <c r="D25" i="9"/>
  <c r="C25" i="9"/>
  <c r="D21" i="9"/>
  <c r="C21" i="9"/>
  <c r="D20" i="9"/>
  <c r="C20" i="9"/>
  <c r="D17" i="9"/>
  <c r="C17" i="9"/>
  <c r="D11" i="9"/>
  <c r="C11" i="9"/>
  <c r="D10" i="9"/>
  <c r="C10" i="9"/>
  <c r="D6" i="9"/>
  <c r="C6" i="9"/>
  <c r="D5" i="9"/>
  <c r="C5" i="9"/>
  <c r="D4" i="9"/>
  <c r="C4" i="9"/>
  <c r="H101" i="4"/>
  <c r="H35" i="4"/>
  <c r="H16" i="4"/>
  <c r="H15" i="4"/>
  <c r="H14" i="4"/>
  <c r="H13" i="4"/>
  <c r="H12" i="4"/>
  <c r="H11" i="4"/>
  <c r="H10" i="4"/>
  <c r="H9" i="4"/>
  <c r="H8" i="4"/>
  <c r="H7" i="4"/>
  <c r="H6" i="4"/>
  <c r="H5" i="4"/>
  <c r="H153" i="4"/>
  <c r="H152" i="4"/>
  <c r="H151" i="4"/>
  <c r="H150" i="4"/>
  <c r="H149" i="4"/>
  <c r="H148" i="4"/>
  <c r="H147" i="4"/>
  <c r="H144" i="4"/>
  <c r="H143" i="4"/>
  <c r="H140" i="4"/>
  <c r="H139" i="4"/>
  <c r="H138" i="4"/>
  <c r="H137" i="4"/>
  <c r="H136" i="4"/>
  <c r="H135" i="4"/>
  <c r="H113" i="4"/>
  <c r="H112" i="4"/>
  <c r="H109" i="4"/>
  <c r="H108" i="4"/>
  <c r="H107" i="4"/>
  <c r="H106" i="4"/>
  <c r="H105" i="4"/>
  <c r="H103" i="4"/>
  <c r="H102" i="4"/>
  <c r="H100" i="4"/>
  <c r="H99" i="4"/>
  <c r="E43" i="9"/>
  <c r="G43" i="9"/>
  <c r="H98" i="4"/>
  <c r="H96" i="4"/>
  <c r="H95" i="4"/>
  <c r="H62" i="4"/>
  <c r="H61" i="4"/>
  <c r="H4" i="4"/>
  <c r="H34" i="4"/>
  <c r="H33" i="4"/>
  <c r="H32" i="4"/>
  <c r="H24" i="4"/>
  <c r="H54" i="4"/>
  <c r="H44" i="4"/>
  <c r="H58" i="4"/>
  <c r="H56" i="4"/>
  <c r="H53" i="4"/>
  <c r="H52" i="4"/>
  <c r="H51" i="4"/>
  <c r="H50" i="4"/>
  <c r="H49" i="4"/>
  <c r="H47" i="4"/>
  <c r="H46" i="4"/>
  <c r="H43" i="4"/>
  <c r="H41" i="4"/>
  <c r="H39" i="4"/>
  <c r="H38" i="4"/>
  <c r="H37" i="4"/>
  <c r="H36" i="4"/>
  <c r="H30" i="4"/>
  <c r="H29" i="4"/>
  <c r="H28" i="4"/>
  <c r="H27" i="4"/>
  <c r="H23" i="4"/>
  <c r="H21" i="4"/>
  <c r="H20" i="4"/>
  <c r="H19" i="4"/>
  <c r="O113" i="3"/>
  <c r="O112" i="3"/>
  <c r="O109" i="3"/>
  <c r="N113" i="3"/>
  <c r="N112" i="3"/>
  <c r="J109" i="3"/>
  <c r="L109" i="3"/>
  <c r="N109" i="3"/>
  <c r="L113" i="3"/>
  <c r="L112" i="3"/>
  <c r="I23" i="3"/>
  <c r="J23" i="3"/>
  <c r="I22" i="3"/>
  <c r="J22" i="3"/>
  <c r="I21" i="3"/>
  <c r="J21" i="3"/>
  <c r="I20" i="3"/>
  <c r="J20" i="3"/>
  <c r="I19" i="3"/>
  <c r="J19" i="3"/>
  <c r="I15" i="3"/>
  <c r="J15" i="3"/>
  <c r="I14" i="3"/>
  <c r="J14" i="3"/>
  <c r="I12" i="3"/>
  <c r="J12" i="3"/>
  <c r="I11" i="3"/>
  <c r="J11" i="3"/>
  <c r="I10" i="3"/>
  <c r="J10" i="3"/>
  <c r="I9" i="3"/>
  <c r="J9" i="3"/>
  <c r="K9" i="3"/>
  <c r="L9" i="3"/>
  <c r="N9" i="3"/>
  <c r="I8" i="3"/>
  <c r="J8" i="3"/>
  <c r="J113" i="3"/>
  <c r="J112" i="3"/>
  <c r="K23" i="3"/>
  <c r="K22" i="3"/>
  <c r="K21" i="3"/>
  <c r="K20" i="3"/>
  <c r="O19" i="3"/>
  <c r="K19" i="3"/>
  <c r="O15" i="3"/>
  <c r="K15" i="3"/>
  <c r="K14" i="3"/>
  <c r="K12" i="3"/>
  <c r="K11" i="3"/>
  <c r="K10" i="3"/>
  <c r="O8" i="3"/>
  <c r="K8" i="3"/>
  <c r="F37" i="14"/>
  <c r="F38" i="14"/>
  <c r="F36" i="14"/>
  <c r="F35" i="14"/>
  <c r="F34" i="14"/>
  <c r="F33" i="14"/>
  <c r="D28" i="14"/>
  <c r="H60" i="13"/>
  <c r="I64" i="13"/>
  <c r="H64" i="13"/>
  <c r="G64" i="13"/>
  <c r="F64" i="13"/>
  <c r="E64" i="13"/>
  <c r="D64" i="13"/>
  <c r="C64" i="13"/>
  <c r="I63" i="13"/>
  <c r="H63" i="13"/>
  <c r="G63" i="13"/>
  <c r="F63" i="13"/>
  <c r="E63" i="13"/>
  <c r="D63" i="13"/>
  <c r="C63" i="13"/>
  <c r="I62" i="13"/>
  <c r="H62" i="13"/>
  <c r="G62" i="13"/>
  <c r="F62" i="13"/>
  <c r="E62" i="13"/>
  <c r="D62" i="13"/>
  <c r="C62" i="13"/>
  <c r="I61" i="13"/>
  <c r="H61" i="13"/>
  <c r="G61" i="13"/>
  <c r="F61" i="13"/>
  <c r="E61" i="13"/>
  <c r="D61" i="13"/>
  <c r="C61" i="13"/>
  <c r="I60" i="13"/>
  <c r="G60" i="13"/>
  <c r="F60" i="13"/>
  <c r="E60" i="13"/>
  <c r="D60" i="13"/>
  <c r="C60" i="13"/>
  <c r="I59" i="13"/>
  <c r="H59" i="13"/>
  <c r="G59" i="13"/>
  <c r="F59" i="13"/>
  <c r="E59" i="13"/>
  <c r="D59" i="13"/>
  <c r="C59" i="13"/>
  <c r="I58" i="13"/>
  <c r="H58" i="13"/>
  <c r="G58" i="13"/>
  <c r="F58" i="13"/>
  <c r="E58" i="13"/>
  <c r="D58" i="13"/>
  <c r="C58" i="13"/>
  <c r="I57" i="13"/>
  <c r="H57" i="13"/>
  <c r="G57" i="13"/>
  <c r="F57" i="13"/>
  <c r="E57" i="13"/>
  <c r="D57" i="13"/>
  <c r="C57" i="13"/>
  <c r="I56" i="13"/>
  <c r="H56" i="13"/>
  <c r="G56" i="13"/>
  <c r="F56" i="13"/>
  <c r="E56" i="13"/>
  <c r="D56" i="13"/>
  <c r="C56" i="13"/>
  <c r="E8" i="11"/>
  <c r="E7" i="11"/>
  <c r="E6" i="11"/>
  <c r="E5" i="11"/>
  <c r="H30" i="7"/>
  <c r="E4" i="11"/>
  <c r="C24" i="11"/>
  <c r="I15" i="7"/>
  <c r="G61" i="9"/>
  <c r="G67" i="9"/>
  <c r="K47" i="7"/>
  <c r="M47" i="7"/>
  <c r="K45" i="7"/>
  <c r="M45" i="7"/>
  <c r="H29" i="7"/>
  <c r="K29" i="7"/>
  <c r="M29" i="7"/>
  <c r="H31" i="7"/>
  <c r="K31" i="7" s="1"/>
  <c r="M31" i="7" s="1"/>
  <c r="I6" i="7"/>
  <c r="K30" i="7"/>
  <c r="M30" i="7" s="1"/>
  <c r="K33" i="7"/>
  <c r="M33" i="7"/>
  <c r="K32" i="7"/>
  <c r="M32" i="7"/>
  <c r="K46" i="7"/>
  <c r="M46" i="7"/>
  <c r="I5" i="7"/>
  <c r="K42" i="7"/>
  <c r="M42" i="7"/>
  <c r="L23" i="3"/>
  <c r="N23" i="3"/>
  <c r="K43" i="7"/>
  <c r="M43" i="7"/>
  <c r="L30" i="3"/>
  <c r="N30" i="3"/>
  <c r="L27" i="3"/>
  <c r="N27" i="3"/>
  <c r="L38" i="3"/>
  <c r="N38" i="3"/>
  <c r="L35" i="3"/>
  <c r="N35" i="3"/>
  <c r="L59" i="3"/>
  <c r="N59" i="3"/>
  <c r="L42" i="3"/>
  <c r="N42" i="3"/>
  <c r="L46" i="3"/>
  <c r="N46" i="3"/>
  <c r="L8" i="3"/>
  <c r="N8" i="3"/>
  <c r="L20" i="3"/>
  <c r="N20" i="3"/>
  <c r="K41" i="7"/>
  <c r="M41" i="7"/>
  <c r="L57" i="3"/>
  <c r="N57" i="3"/>
  <c r="L33" i="3"/>
  <c r="N33" i="3"/>
  <c r="L39" i="3"/>
  <c r="N39" i="3"/>
  <c r="L43" i="3"/>
  <c r="N43" i="3"/>
  <c r="L10" i="3"/>
  <c r="N10" i="3"/>
  <c r="L22" i="3"/>
  <c r="N22" i="3"/>
  <c r="L47" i="3"/>
  <c r="N47" i="3"/>
  <c r="L12" i="3"/>
  <c r="N12" i="3"/>
  <c r="L44" i="3"/>
  <c r="N44" i="3"/>
  <c r="K38" i="7"/>
  <c r="M38" i="7"/>
  <c r="K44" i="7"/>
  <c r="M44" i="7"/>
  <c r="I24" i="7"/>
  <c r="I10" i="7"/>
  <c r="I23" i="7"/>
  <c r="I16" i="7"/>
  <c r="I17" i="7"/>
  <c r="I8" i="7"/>
  <c r="I20" i="7"/>
  <c r="L58" i="3"/>
  <c r="N58" i="3"/>
  <c r="L19" i="3"/>
  <c r="N19" i="3"/>
  <c r="N11" i="7"/>
  <c r="L55" i="3"/>
  <c r="N55" i="3"/>
  <c r="L21" i="3"/>
  <c r="N21" i="3"/>
  <c r="N18" i="7"/>
  <c r="L29" i="3"/>
  <c r="N29" i="3"/>
  <c r="L11" i="3"/>
  <c r="N11" i="3"/>
  <c r="L41" i="3"/>
  <c r="N41" i="3"/>
  <c r="L32" i="3"/>
  <c r="N32" i="3"/>
  <c r="I12" i="7"/>
  <c r="L53" i="3"/>
  <c r="N53" i="3"/>
  <c r="K15" i="7"/>
  <c r="M15" i="7"/>
  <c r="L14" i="3"/>
  <c r="N14" i="3"/>
  <c r="L15" i="3"/>
  <c r="N15" i="3"/>
  <c r="I9" i="7"/>
  <c r="I21" i="7"/>
  <c r="I13" i="7"/>
  <c r="I22" i="7"/>
  <c r="I19" i="7"/>
  <c r="N14" i="7"/>
  <c r="G62" i="7"/>
  <c r="G65" i="7"/>
  <c r="E32" i="2"/>
  <c r="D17" i="8"/>
  <c r="C20" i="8"/>
  <c r="C32" i="8"/>
  <c r="K6" i="7"/>
  <c r="M6" i="7"/>
  <c r="K39" i="7"/>
  <c r="M39" i="7"/>
  <c r="K14" i="7"/>
  <c r="M14" i="7"/>
  <c r="E14" i="2"/>
  <c r="F14" i="2" s="1"/>
  <c r="K16" i="7"/>
  <c r="M16" i="7"/>
  <c r="K5" i="7"/>
  <c r="M5" i="7"/>
  <c r="K24" i="7"/>
  <c r="M24" i="7"/>
  <c r="K17" i="7"/>
  <c r="M17" i="7"/>
  <c r="K23" i="7"/>
  <c r="M23" i="7"/>
  <c r="K20" i="7"/>
  <c r="M20" i="7"/>
  <c r="K8" i="7"/>
  <c r="M8" i="7"/>
  <c r="K10" i="7"/>
  <c r="M10" i="7"/>
  <c r="K18" i="7"/>
  <c r="M18" i="7"/>
  <c r="K12" i="7"/>
  <c r="M12" i="7"/>
  <c r="K19" i="7"/>
  <c r="M19" i="7"/>
  <c r="K21" i="7"/>
  <c r="M21" i="7"/>
  <c r="K9" i="7"/>
  <c r="M9" i="7"/>
  <c r="K22" i="7"/>
  <c r="M22" i="7"/>
  <c r="K11" i="7"/>
  <c r="M11" i="7"/>
  <c r="K13" i="7"/>
  <c r="M13" i="7"/>
  <c r="D20" i="8"/>
  <c r="D32" i="8"/>
  <c r="E34" i="2"/>
  <c r="N25" i="7"/>
  <c r="I7" i="7"/>
  <c r="I25" i="7"/>
  <c r="G4" i="9"/>
  <c r="G7" i="9"/>
  <c r="E10" i="2"/>
  <c r="G25" i="9"/>
  <c r="G40" i="9"/>
  <c r="G22" i="9"/>
  <c r="E11" i="2"/>
  <c r="G11" i="2" s="1"/>
  <c r="G51" i="9"/>
  <c r="E12" i="2"/>
  <c r="F12" i="2" s="1"/>
  <c r="E22" i="2"/>
  <c r="K7" i="7"/>
  <c r="M7" i="7"/>
  <c r="M25" i="7"/>
  <c r="K40" i="7"/>
  <c r="M40" i="7"/>
  <c r="M48" i="7"/>
  <c r="I48" i="7"/>
  <c r="E23" i="2"/>
  <c r="F23" i="2" s="1"/>
  <c r="C47" i="2" l="1"/>
  <c r="C40" i="14"/>
  <c r="N33" i="7"/>
  <c r="B52" i="2"/>
  <c r="G34" i="2"/>
  <c r="E33" i="2"/>
  <c r="E30" i="2"/>
  <c r="G31" i="2"/>
  <c r="F31" i="2"/>
  <c r="F22" i="2"/>
  <c r="F21" i="2" s="1"/>
  <c r="F41" i="2" s="1"/>
  <c r="E21" i="2"/>
  <c r="E41" i="2" s="1"/>
  <c r="F26" i="2"/>
  <c r="F25" i="2" s="1"/>
  <c r="E25" i="2"/>
  <c r="F10" i="2"/>
  <c r="E9" i="2"/>
  <c r="F11" i="2"/>
  <c r="G12" i="2"/>
  <c r="G10" i="2"/>
  <c r="D47" i="2"/>
  <c r="G23" i="2"/>
  <c r="G47" i="2"/>
  <c r="B51" i="2"/>
  <c r="B48" i="2"/>
  <c r="F35" i="2"/>
  <c r="F32" i="2"/>
  <c r="G26" i="2"/>
  <c r="G25" i="2" s="1"/>
  <c r="G13" i="2"/>
  <c r="G32" i="2"/>
  <c r="G24" i="2"/>
  <c r="G22" i="2"/>
  <c r="B49" i="2"/>
  <c r="F34" i="2"/>
  <c r="G35" i="2"/>
  <c r="G14" i="2"/>
  <c r="N31" i="7"/>
  <c r="M34" i="7"/>
  <c r="I34" i="7"/>
  <c r="I65" i="7" s="1"/>
  <c r="J34" i="7"/>
  <c r="J65" i="7" s="1"/>
  <c r="E19" i="2" s="1"/>
  <c r="G19" i="2" s="1"/>
  <c r="N30" i="7"/>
  <c r="N32" i="7"/>
  <c r="E18" i="2"/>
  <c r="N29" i="7"/>
  <c r="H34" i="7"/>
  <c r="H65" i="7" s="1"/>
  <c r="E38" i="2" l="1"/>
  <c r="G33" i="2"/>
  <c r="F33" i="2"/>
  <c r="F30" i="2"/>
  <c r="G30" i="2"/>
  <c r="F9" i="2"/>
  <c r="G9" i="2"/>
  <c r="G21" i="2"/>
  <c r="G41" i="2" s="1"/>
  <c r="F19" i="2"/>
  <c r="N34" i="7"/>
  <c r="L65" i="7" s="1"/>
  <c r="E17" i="2"/>
  <c r="K65" i="7"/>
  <c r="E16" i="2"/>
  <c r="F18" i="2"/>
  <c r="G18" i="2"/>
  <c r="N65" i="7" l="1"/>
  <c r="G38" i="2"/>
  <c r="F38" i="2"/>
  <c r="E20" i="2"/>
  <c r="E39" i="2" s="1"/>
  <c r="G17" i="2"/>
  <c r="F17" i="2"/>
  <c r="G16" i="2"/>
  <c r="F16" i="2"/>
  <c r="E15" i="2" l="1"/>
  <c r="E27" i="2" s="1"/>
  <c r="E40" i="2"/>
  <c r="E42" i="2" s="1"/>
  <c r="E43" i="2" s="1"/>
  <c r="F20" i="2"/>
  <c r="F39" i="2" s="1"/>
  <c r="G20" i="2"/>
  <c r="G39" i="2" s="1"/>
  <c r="D50" i="2" l="1"/>
  <c r="E50" i="2"/>
  <c r="C50" i="2"/>
  <c r="G51" i="2"/>
  <c r="F49" i="2"/>
  <c r="G48" i="2"/>
  <c r="F48" i="2"/>
  <c r="C52" i="2"/>
  <c r="D48" i="2"/>
  <c r="G49" i="2"/>
  <c r="F51" i="2"/>
  <c r="E51" i="2"/>
  <c r="E49" i="2"/>
  <c r="D51" i="2"/>
  <c r="D49" i="2"/>
  <c r="C51" i="2"/>
  <c r="D52" i="2"/>
  <c r="G50" i="2"/>
  <c r="C49" i="2"/>
  <c r="G52" i="2"/>
  <c r="F50" i="2"/>
  <c r="F52" i="2"/>
  <c r="E52" i="2"/>
  <c r="C48" i="2"/>
  <c r="E48" i="2"/>
  <c r="F15" i="2"/>
  <c r="F27" i="2" s="1"/>
  <c r="G15" i="2"/>
  <c r="G27" i="2" s="1"/>
  <c r="F40" i="2"/>
  <c r="F42" i="2" s="1"/>
  <c r="F43" i="2" s="1"/>
  <c r="G40" i="2"/>
  <c r="G42" i="2" s="1"/>
  <c r="G43" i="2" s="1"/>
</calcChain>
</file>

<file path=xl/sharedStrings.xml><?xml version="1.0" encoding="utf-8"?>
<sst xmlns="http://schemas.openxmlformats.org/spreadsheetml/2006/main" count="1304" uniqueCount="659">
  <si>
    <t>NORTH FLORIDA PEANUT BUDGET TEMPLATE</t>
  </si>
  <si>
    <t>Template Description</t>
  </si>
  <si>
    <t>This template is designed to assist with preparation of crop budgets for peanut production. Instructions for using the template to create budgets are shown below. Cost and price data shown are subject to change.</t>
  </si>
  <si>
    <t>Created by</t>
  </si>
  <si>
    <t>Kevin Athearn, Regional Specialized Extension Agent for Agribusiness, and</t>
  </si>
  <si>
    <t>Amanda Phillips, Agribusiness Data Management Analyst</t>
  </si>
  <si>
    <t>Acknowledgments</t>
  </si>
  <si>
    <t>Development of this template was funded in part by the Florida Department of Agriculture and Consumer Services for the Florida Stakeholder Engagement Program (STEP) led by Dr. Vivek Sharma. We would also like to thank the ag input suppliers and equipment manufacturers who provided quotes for material and equipment costs.</t>
  </si>
  <si>
    <t>TEMPLATE INSTRUCTIONS</t>
  </si>
  <si>
    <t xml:space="preserve">To create your own field corn crop budget using this template, move through the worksheets from right to left. You may enter data in the Orange and Blue worksheets only.  </t>
  </si>
  <si>
    <t>Coefficients Worksheet</t>
  </si>
  <si>
    <t>The data in the Coefficients worksheet are used for calculations in other worksheets. Do not change the data in the Coefficients worksheet.</t>
  </si>
  <si>
    <t>Orange Worksheets</t>
  </si>
  <si>
    <t>The orange worksheets provide recent cost information for farm machinery, ag inputs, fuel &amp; electricity, and labor. When building the budget in the blue worksheets, you may select items (dropdown menus) from the orange worksheets. You may add your own machinery and cost information in the orange worksheet tables or use the information already provided. To add your own information, you may type over items or click inside the table and on the Excel ribbon select Cells-&gt;Insert-&gt;Table Rows Above. You may enter your own information in any table rows you add or replace the existing information in any of the table rows. The cost and price information shown will vary by seller and will change over time.</t>
  </si>
  <si>
    <t>Blue Worksheets</t>
  </si>
  <si>
    <r>
      <t xml:space="preserve">The blue worksheets allow you to build the budget by providing details on the specific enterprise represented. On the </t>
    </r>
    <r>
      <rPr>
        <b/>
        <sz val="11"/>
        <color theme="1"/>
        <rFont val="Aptos Narrow"/>
        <family val="2"/>
        <scheme val="minor"/>
      </rPr>
      <t>Field-Budget Profile Worksheet</t>
    </r>
    <r>
      <rPr>
        <sz val="11"/>
        <color theme="1"/>
        <rFont val="Aptos Narrow"/>
        <family val="2"/>
        <scheme val="minor"/>
      </rPr>
      <t xml:space="preserve">, enter the budget title and details on the crop, field, and irrigation system. On the </t>
    </r>
    <r>
      <rPr>
        <b/>
        <sz val="11"/>
        <color theme="1"/>
        <rFont val="Aptos Narrow"/>
        <family val="2"/>
        <scheme val="minor"/>
      </rPr>
      <t>Field Operations Worksheet</t>
    </r>
    <r>
      <rPr>
        <sz val="11"/>
        <color theme="1"/>
        <rFont val="Aptos Narrow"/>
        <family val="2"/>
        <scheme val="minor"/>
      </rPr>
      <t xml:space="preserve">, make selections for the field operations needed for the enterprise. In the Machinery Operations Table, you can breakup an activity into multiple rows to show multiple implements used or multiple labor types for that activity. If you add a row for a second implement used in the same pass, do not enter the tractor again in that row, but do enter the tractor hours again in that row. Leave the labor type blank, if no additional labor is needed for the second implement used in the same pass. If additional labor is needed, add a separate row just for labor (without showing a tractor or implement); enter hours in the Nontractor Hours column and select the labor type. Every row showing costs must have a number in the Number of Trips column. Separate rows for additional implements or additional labor must show the number of trips. On the </t>
    </r>
    <r>
      <rPr>
        <b/>
        <sz val="11"/>
        <color theme="1"/>
        <rFont val="Aptos Narrow"/>
        <family val="2"/>
        <scheme val="minor"/>
      </rPr>
      <t>Materials Used Worksheet</t>
    </r>
    <r>
      <rPr>
        <sz val="11"/>
        <color theme="1"/>
        <rFont val="Aptos Narrow"/>
        <family val="2"/>
        <scheme val="minor"/>
      </rPr>
      <t xml:space="preserve">, select the materials used by the enterprise from the dropdown menus and enter application rates. On the </t>
    </r>
    <r>
      <rPr>
        <b/>
        <sz val="11"/>
        <color theme="1"/>
        <rFont val="Aptos Narrow"/>
        <family val="2"/>
        <scheme val="minor"/>
      </rPr>
      <t>Marketing Worksheet</t>
    </r>
    <r>
      <rPr>
        <sz val="11"/>
        <color theme="1"/>
        <rFont val="Aptos Narrow"/>
        <family val="2"/>
        <scheme val="minor"/>
      </rPr>
      <t>, enter information about how the crop is sold, expected yield and price, as well as discounts, hauling costs, and crop insurance.</t>
    </r>
  </si>
  <si>
    <t>Budget Summary</t>
  </si>
  <si>
    <t>The budget summary shows condensed information from the other worksheets. Do not enter information on this worksheet. All information on this worksheet comes from data entered on the Blue worksheets.</t>
  </si>
  <si>
    <t>NORTH FLORIDA PEANUT CROP BUDGET</t>
  </si>
  <si>
    <t>Crop</t>
  </si>
  <si>
    <t>Field Name</t>
  </si>
  <si>
    <t>Planted Acres</t>
  </si>
  <si>
    <t>Yield (tons/acre)</t>
  </si>
  <si>
    <t>Direct Materials &amp; Services</t>
  </si>
  <si>
    <t>Cost per Acre</t>
  </si>
  <si>
    <t>Cost per Ton</t>
  </si>
  <si>
    <t>Fertilizers &amp; lime</t>
  </si>
  <si>
    <t>Chemicals</t>
  </si>
  <si>
    <t>Other materials</t>
  </si>
  <si>
    <t>Custom services</t>
  </si>
  <si>
    <t>Variable Production Overhead</t>
  </si>
  <si>
    <t>Labor</t>
  </si>
  <si>
    <t>Fuel</t>
  </si>
  <si>
    <t>Variable electricity</t>
  </si>
  <si>
    <t>Maintenance &amp; repairs</t>
  </si>
  <si>
    <t>Interest on operating costs</t>
  </si>
  <si>
    <t>Fixed Production Overhead</t>
  </si>
  <si>
    <t>Machinery ownership or lease</t>
  </si>
  <si>
    <t>Truck ownership or lease</t>
  </si>
  <si>
    <t>Irrigation equipment not in land cost</t>
  </si>
  <si>
    <t>Land</t>
  </si>
  <si>
    <t>Land cost</t>
  </si>
  <si>
    <t>Revenues</t>
  </si>
  <si>
    <t>Revenue per Acre</t>
  </si>
  <si>
    <t>Revenue per Ton</t>
  </si>
  <si>
    <t>Gross revenue from crop sales</t>
  </si>
  <si>
    <t>Other crop revenues</t>
  </si>
  <si>
    <t>Price deductions &amp; marketing costs</t>
  </si>
  <si>
    <t>Crop insurance premium</t>
  </si>
  <si>
    <t>Total net farm-gate crop revenue</t>
  </si>
  <si>
    <t>Contribution margin, not including land</t>
  </si>
  <si>
    <t>Return to land, management, G&amp;A &amp; profit</t>
  </si>
  <si>
    <t>Sensitivity Analysis for Gross Profit per Acre</t>
  </si>
  <si>
    <t>Gross Price ($/ton)</t>
  </si>
  <si>
    <t>Budget Description</t>
  </si>
  <si>
    <t>MARKETING</t>
  </si>
  <si>
    <t>Crop Sales</t>
  </si>
  <si>
    <t>Peanut yield at &lt;10.5% moisture (tons/acre)</t>
  </si>
  <si>
    <t>Average gross buying point price ($/ton)</t>
  </si>
  <si>
    <t>Gross revenue from crop sales ($/acre)</t>
  </si>
  <si>
    <t>Price Deductions &amp; Marketing Costs</t>
  </si>
  <si>
    <t>Hauling charges</t>
  </si>
  <si>
    <t>Cleaning fees</t>
  </si>
  <si>
    <t>Drying fees</t>
  </si>
  <si>
    <t>Quality discounts</t>
  </si>
  <si>
    <t>Checkoff fees</t>
  </si>
  <si>
    <t>Storage costs</t>
  </si>
  <si>
    <t>Loan service charges</t>
  </si>
  <si>
    <t>Other</t>
  </si>
  <si>
    <t>Total</t>
  </si>
  <si>
    <t>Net farm-gate crop sales revenue</t>
  </si>
  <si>
    <t>Additional Crop Revenues</t>
  </si>
  <si>
    <t>Crop insurance proceeds</t>
  </si>
  <si>
    <t>Ag program payments linked to this crop</t>
  </si>
  <si>
    <t>Crop residue / peanut vines, farm-gate revenue</t>
  </si>
  <si>
    <t>Total farm-gate net crop revenue</t>
  </si>
  <si>
    <t>MATERIALS USED</t>
  </si>
  <si>
    <t>Corn Seed Variety</t>
  </si>
  <si>
    <t>Type</t>
  </si>
  <si>
    <t>Application Unit</t>
  </si>
  <si>
    <t>Cost per Application Unit</t>
  </si>
  <si>
    <t>Cost per Planted Acre</t>
  </si>
  <si>
    <t>Fertilizers &amp; Lime</t>
  </si>
  <si>
    <t>Fungicides</t>
  </si>
  <si>
    <t>Active Ingredients</t>
  </si>
  <si>
    <t>Herbicides</t>
  </si>
  <si>
    <t>Insecticides</t>
  </si>
  <si>
    <t>Nematicides</t>
  </si>
  <si>
    <t>Other Materials</t>
  </si>
  <si>
    <t>FIELD OPERATIONS</t>
  </si>
  <si>
    <t>MACHINERY OPERATIONS</t>
  </si>
  <si>
    <t>Machinery Operation Description</t>
  </si>
  <si>
    <t>Tractor or Self-Propelled</t>
  </si>
  <si>
    <t>Implement</t>
  </si>
  <si>
    <t>Tractor Hours per Field per Trip</t>
  </si>
  <si>
    <t>Nontractor Hours per Field per Trip</t>
  </si>
  <si>
    <t>Labor Type</t>
  </si>
  <si>
    <t>Labor Cost per Trip Acre</t>
  </si>
  <si>
    <t>Fuel Cost per Trip Acre</t>
  </si>
  <si>
    <t>Repair Cost per Trip Acre</t>
  </si>
  <si>
    <t>Total Cost per Trip Acre</t>
  </si>
  <si>
    <t>Number of Trips*</t>
  </si>
  <si>
    <t>Total Cost per Acre</t>
  </si>
  <si>
    <t>Fixed Ownership Allocation per Acre</t>
  </si>
  <si>
    <t>Total per Acre, All Trips</t>
  </si>
  <si>
    <t>IRRIGATION OPERATIONS</t>
  </si>
  <si>
    <t>Irrigation Event Description</t>
  </si>
  <si>
    <t>Acre-Inches per Event</t>
  </si>
  <si>
    <t>Labor Hours per Event</t>
  </si>
  <si>
    <t>Labor Cost per Event Acre</t>
  </si>
  <si>
    <t>Power Cost per Event Acre</t>
  </si>
  <si>
    <t>Repair Cost per Event Acre</t>
  </si>
  <si>
    <t>Total Cost per Event Acre</t>
  </si>
  <si>
    <t>Number of Events</t>
  </si>
  <si>
    <t>Light irrigation event</t>
  </si>
  <si>
    <t>Moderate irrigation event</t>
  </si>
  <si>
    <t>Total per Acre, All Events</t>
  </si>
  <si>
    <t>FARM VEHICLE &amp; OTHER LABOR OPERATIONS</t>
  </si>
  <si>
    <t>Vehicle/Labor Operation Description</t>
  </si>
  <si>
    <t>Vehicle Type</t>
  </si>
  <si>
    <t>Fuel Type</t>
  </si>
  <si>
    <t>Miles per Field per Trip</t>
  </si>
  <si>
    <t>Labor Hours per Field per Trip</t>
  </si>
  <si>
    <t>CUSTOM SERVICES HIRED</t>
  </si>
  <si>
    <t>Service Description</t>
  </si>
  <si>
    <t>Type or Specs</t>
  </si>
  <si>
    <t>Unit</t>
  </si>
  <si>
    <t>Cost per Unit</t>
  </si>
  <si>
    <t>Quantity per Acre</t>
  </si>
  <si>
    <t>Custom</t>
  </si>
  <si>
    <t>Fuel &amp; Electric</t>
  </si>
  <si>
    <t>Repair</t>
  </si>
  <si>
    <t>Total Variable</t>
  </si>
  <si>
    <t>Fixed Allocations</t>
  </si>
  <si>
    <t>Total Variable + Fixed</t>
  </si>
  <si>
    <t>TOTAL FOR ALL FIELD OPERATIONS, PER ACRE</t>
  </si>
  <si>
    <t>FIELD-BUDGET PROFILE</t>
  </si>
  <si>
    <t>Crop Budget Title:</t>
  </si>
  <si>
    <t>Version:</t>
  </si>
  <si>
    <t>CROP-FIELD-IRRIGATION DETAILS</t>
  </si>
  <si>
    <t>Crop Name</t>
  </si>
  <si>
    <t>Total Field Acres</t>
  </si>
  <si>
    <t>Prior Crop(s) on This Field</t>
  </si>
  <si>
    <t>Cash Crops per Year</t>
  </si>
  <si>
    <t>Irrigation Type</t>
  </si>
  <si>
    <t>Well Diameter (inches)</t>
  </si>
  <si>
    <t>Well Depth (lift feet)</t>
  </si>
  <si>
    <t>Pump Pressure (psi)</t>
  </si>
  <si>
    <t>Power Type</t>
  </si>
  <si>
    <t>Pump HP</t>
  </si>
  <si>
    <t>Diesel Gal per Acre-Inch</t>
  </si>
  <si>
    <t>kWh per Acre-Inch</t>
  </si>
  <si>
    <t>Variable Power Cost per Acre-Inch</t>
  </si>
  <si>
    <t>Estimated Variable Cost for Irrigation Maintenance &amp; Repair per Acre-Inch</t>
  </si>
  <si>
    <t>Field, Owned or Rented:</t>
  </si>
  <si>
    <t>ANNUAL FIELD COSTS</t>
  </si>
  <si>
    <t>Annual Field Parcel Costs</t>
  </si>
  <si>
    <t>Cost Per Field</t>
  </si>
  <si>
    <t>Land rental cost</t>
  </si>
  <si>
    <t>Mortgage payment (principal + interest)</t>
  </si>
  <si>
    <t>Property tax and insurance</t>
  </si>
  <si>
    <t>Fixed electric standby charge</t>
  </si>
  <si>
    <r>
      <t>Opportunity cost</t>
    </r>
    <r>
      <rPr>
        <vertAlign val="superscript"/>
        <sz val="11"/>
        <color theme="1"/>
        <rFont val="Aptos Narrow"/>
        <family val="2"/>
        <scheme val="minor"/>
      </rPr>
      <t>1</t>
    </r>
  </si>
  <si>
    <t>Annual Total</t>
  </si>
  <si>
    <r>
      <t>1</t>
    </r>
    <r>
      <rPr>
        <sz val="11"/>
        <color theme="1"/>
        <rFont val="Aptos Narrow"/>
        <family val="2"/>
        <scheme val="minor"/>
      </rPr>
      <t>Opportunity cost should be in place of other field parcel costs. Otherwise show zero opportunity cost.</t>
    </r>
  </si>
  <si>
    <t>ANNUAL FIXED IRRIGATION/FERTIGATION EQUIPMENT COSTS, NOT INCLUDED IN FIELD COSTS</t>
  </si>
  <si>
    <t>Irrigation &amp; Fertigation Equipment at Field</t>
  </si>
  <si>
    <t>Depreciation + Interest or Lease</t>
  </si>
  <si>
    <t>Tax &amp; Insurance</t>
  </si>
  <si>
    <t>Fixed Maintenance, Repair, or Service</t>
  </si>
  <si>
    <t>Center pivot, sprinklers, end gun</t>
  </si>
  <si>
    <t>Soil moisture sensor</t>
  </si>
  <si>
    <t>Annual Field Totals</t>
  </si>
  <si>
    <t>Annual Cost per Planted Acre</t>
  </si>
  <si>
    <t>BUDGET DESCRIPTION</t>
  </si>
  <si>
    <t>ACKNOWLEDGMENTS</t>
  </si>
  <si>
    <t>OPERATING COST RATES (FALL 2024)</t>
  </si>
  <si>
    <t>Labor Types</t>
  </si>
  <si>
    <t>Hourly Wage</t>
  </si>
  <si>
    <t>Payroll Overhead</t>
  </si>
  <si>
    <t>Cost per Hour</t>
  </si>
  <si>
    <t>Tractor driver labor</t>
  </si>
  <si>
    <t>General farm labor</t>
  </si>
  <si>
    <t>Unpaid owner/family labor</t>
  </si>
  <si>
    <t>Fuel Types</t>
  </si>
  <si>
    <t>Cost ($/gal)</t>
  </si>
  <si>
    <t>Gasoline</t>
  </si>
  <si>
    <t>Diesel, highway</t>
  </si>
  <si>
    <t>Diesel, off-road</t>
  </si>
  <si>
    <t>Electric Rates</t>
  </si>
  <si>
    <t>Cost</t>
  </si>
  <si>
    <t>Variable electric rate ($/kwh)</t>
  </si>
  <si>
    <t>Interest Rate on Operating Costs</t>
  </si>
  <si>
    <t>Rate</t>
  </si>
  <si>
    <t>Annual interest rate</t>
  </si>
  <si>
    <t>Average number of months</t>
  </si>
  <si>
    <t>Effective rate for season</t>
  </si>
  <si>
    <t>Custom Services</t>
  </si>
  <si>
    <t>5-acre grids</t>
  </si>
  <si>
    <t>acre</t>
  </si>
  <si>
    <t>broadcast</t>
  </si>
  <si>
    <t>ton</t>
  </si>
  <si>
    <t>Scouting/crop consulting</t>
  </si>
  <si>
    <t>agronomic</t>
  </si>
  <si>
    <t>Silage harvesting</t>
  </si>
  <si>
    <t>not including bagging</t>
  </si>
  <si>
    <t>dry ton</t>
  </si>
  <si>
    <t>Hauling grain corn - 20 miles</t>
  </si>
  <si>
    <t>20 miles</t>
  </si>
  <si>
    <t>bushel</t>
  </si>
  <si>
    <t>Hauling grain corn - 60 miles</t>
  </si>
  <si>
    <t>60 miles</t>
  </si>
  <si>
    <t>Hauling peanuts - local</t>
  </si>
  <si>
    <t>local</t>
  </si>
  <si>
    <t>Hauling chicken litter - local</t>
  </si>
  <si>
    <t>MATERIAL LISTS (FALL 2024)</t>
  </si>
  <si>
    <t>Seed Varieties</t>
  </si>
  <si>
    <t>Type/Coating</t>
  </si>
  <si>
    <t>Purchase Price</t>
  </si>
  <si>
    <t>Purchase Unit</t>
  </si>
  <si>
    <t>Application Units per Purchase Unit</t>
  </si>
  <si>
    <t>FloRun 52N-r</t>
  </si>
  <si>
    <t>Registered</t>
  </si>
  <si>
    <t>lb</t>
  </si>
  <si>
    <t>GA-06G-r</t>
  </si>
  <si>
    <t>GA-06G-c</t>
  </si>
  <si>
    <t>Certified</t>
  </si>
  <si>
    <t>GA-12Y-r</t>
  </si>
  <si>
    <t>GA-16HO-r</t>
  </si>
  <si>
    <t>GA-16HO-c</t>
  </si>
  <si>
    <t>GA-18RU-r</t>
  </si>
  <si>
    <t>GA-18RU-c</t>
  </si>
  <si>
    <t>GA-21GR-r</t>
  </si>
  <si>
    <t>TifNV-HG-r</t>
  </si>
  <si>
    <t>TifNV-High O/L-r</t>
  </si>
  <si>
    <t>TifNV-High O/L-c</t>
  </si>
  <si>
    <t>Ammonium nitrate 34-0-0</t>
  </si>
  <si>
    <t>dry fertilizer</t>
  </si>
  <si>
    <t>Ammonium sulfate 21-0-0-24</t>
  </si>
  <si>
    <t>Architech 10-5-5 with GABA</t>
  </si>
  <si>
    <t>liquid fertilizer</t>
  </si>
  <si>
    <t>quart</t>
  </si>
  <si>
    <t>Boron, dry 10%</t>
  </si>
  <si>
    <t>Boron, liquid foliar spray 20.5%</t>
  </si>
  <si>
    <t>gal</t>
  </si>
  <si>
    <t>pint</t>
  </si>
  <si>
    <t>Boron XR5 7.5%</t>
  </si>
  <si>
    <t>Chicken litter, raw</t>
  </si>
  <si>
    <t>soil amendment, delivered</t>
  </si>
  <si>
    <t>Chicken litter, pelletized</t>
  </si>
  <si>
    <t>pelletized &amp; pasteurized, delivered</t>
  </si>
  <si>
    <t>ContaiN Advanced</t>
  </si>
  <si>
    <t>N management aid</t>
  </si>
  <si>
    <t>CRF 43-0-0</t>
  </si>
  <si>
    <t>controlled release fertilizer</t>
  </si>
  <si>
    <t>CRF 44.5-0-0</t>
  </si>
  <si>
    <t>DAP(diammonium phosphate) 18-46-0</t>
  </si>
  <si>
    <t>Dolomite</t>
  </si>
  <si>
    <t>lime</t>
  </si>
  <si>
    <t>Dry blend, 17-0-21 + micros</t>
  </si>
  <si>
    <t>Dry blend, 13-4-13 + micros</t>
  </si>
  <si>
    <t>Dry blend, 9-0-29 + micros</t>
  </si>
  <si>
    <t>Dry blend, 5-10-15 + micros</t>
  </si>
  <si>
    <t>Dry blend, 3-7-28 + micros</t>
  </si>
  <si>
    <t>Dry blend, 0-0-40 + micros</t>
  </si>
  <si>
    <t>Gypsum, phosphogypsum</t>
  </si>
  <si>
    <t>Gypsum, smokestack gypsum</t>
  </si>
  <si>
    <t>K-Mag 0-0-22-22-11</t>
  </si>
  <si>
    <t>Liquid blend, 8-0-8 + micros</t>
  </si>
  <si>
    <t>gallon</t>
  </si>
  <si>
    <t>Liquid starter, 23-9-0</t>
  </si>
  <si>
    <t>Liquid starter, 16-16-0</t>
  </si>
  <si>
    <t>Liquid starter, 10-34-0</t>
  </si>
  <si>
    <t>Manganese DDP 33%</t>
  </si>
  <si>
    <t>MAP 11-52-0</t>
  </si>
  <si>
    <t>Mosaic MicroAspireBlend 5-7-28 + micros</t>
  </si>
  <si>
    <t>Muriate of Potash 0-0-60</t>
  </si>
  <si>
    <t>N-ferno humic 9.6% fulvic .3%</t>
  </si>
  <si>
    <t>NutraK foliar potassium 0-0-24</t>
  </si>
  <si>
    <t>Octane carbohydrates 1-0-0</t>
  </si>
  <si>
    <t>Orangeburg Supra-Starter micro blend</t>
  </si>
  <si>
    <t>Sulfur 0-0-0-90</t>
  </si>
  <si>
    <t>Sulfur XR5 8-0-0-17</t>
  </si>
  <si>
    <t>UAN with sulfur 28-0-0-5</t>
  </si>
  <si>
    <t>Urea 46-0-0</t>
  </si>
  <si>
    <t>Zinc DDP 35%</t>
  </si>
  <si>
    <t>Fungicide Product Names</t>
  </si>
  <si>
    <t>Abound</t>
  </si>
  <si>
    <t>azoxystrobin</t>
  </si>
  <si>
    <t>fl oz</t>
  </si>
  <si>
    <t>Absolute 500</t>
  </si>
  <si>
    <t>tebuconazole + trifloxystrobin</t>
  </si>
  <si>
    <t>Aframe</t>
  </si>
  <si>
    <t>Alto 100 SL</t>
  </si>
  <si>
    <t>cyproconozole</t>
  </si>
  <si>
    <t>Aproach Prima</t>
  </si>
  <si>
    <t>picoxystrobin + cyproconazole</t>
  </si>
  <si>
    <t>AzoxyStar/Azoxy 2SC</t>
  </si>
  <si>
    <t>Bravo Weather Stik</t>
  </si>
  <si>
    <t>chlorothalonil</t>
  </si>
  <si>
    <t>Convoy</t>
  </si>
  <si>
    <t>flutolanil</t>
  </si>
  <si>
    <t>Custodia</t>
  </si>
  <si>
    <t>azoxystrobin + tebuconazole</t>
  </si>
  <si>
    <t>Echo 720</t>
  </si>
  <si>
    <t>Elatus</t>
  </si>
  <si>
    <t>azoxystrobin +benzovindiflupyr</t>
  </si>
  <si>
    <t>pound</t>
  </si>
  <si>
    <t>oz</t>
  </si>
  <si>
    <t>Excalia</t>
  </si>
  <si>
    <t>inpyrfluxam</t>
  </si>
  <si>
    <t>Fontelis</t>
  </si>
  <si>
    <t>penthiopyrad</t>
  </si>
  <si>
    <t>Headline SC</t>
  </si>
  <si>
    <t>pyraclostrobin</t>
  </si>
  <si>
    <t>Lucento</t>
  </si>
  <si>
    <t>bixafen + flutriafol</t>
  </si>
  <si>
    <t>Microthiol</t>
  </si>
  <si>
    <t>sulfur</t>
  </si>
  <si>
    <t>Miravis</t>
  </si>
  <si>
    <t>pydiflumetofen</t>
  </si>
  <si>
    <t>Optimas Sulfur</t>
  </si>
  <si>
    <t>sulfur 48oz acre</t>
  </si>
  <si>
    <t>Priaxor Xemium</t>
  </si>
  <si>
    <t>fluxapyroxad + pyraclostrobin</t>
  </si>
  <si>
    <t>Proline 480 SC</t>
  </si>
  <si>
    <t>prothioconazole</t>
  </si>
  <si>
    <t>Provost Silver</t>
  </si>
  <si>
    <t>tebuconozole + prothioconazole</t>
  </si>
  <si>
    <t>Provysol</t>
  </si>
  <si>
    <t>mefentrifluconazole</t>
  </si>
  <si>
    <t>Recon Bold SL</t>
  </si>
  <si>
    <t>mefenoxam</t>
  </si>
  <si>
    <t>Revytek</t>
  </si>
  <si>
    <t>fluxapyroxad + mefentrifl. + pyracl.</t>
  </si>
  <si>
    <t>Ridomil Gold SL</t>
  </si>
  <si>
    <t>Tebuzol</t>
  </si>
  <si>
    <t>tebuconazole</t>
  </si>
  <si>
    <t>Topguard</t>
  </si>
  <si>
    <t>flutriafol</t>
  </si>
  <si>
    <t>Topguard EQ</t>
  </si>
  <si>
    <t>azoxystrobin +flutriafol</t>
  </si>
  <si>
    <t>Topsin</t>
  </si>
  <si>
    <t>thiophanate-methyl</t>
  </si>
  <si>
    <t>Ultra Flourish</t>
  </si>
  <si>
    <t>Herbicide Product Names</t>
  </si>
  <si>
    <t>2,4-DB</t>
  </si>
  <si>
    <t>Cadre</t>
  </si>
  <si>
    <t>imazapic</t>
  </si>
  <si>
    <t>Dual Magnum</t>
  </si>
  <si>
    <t>S-metolachlor</t>
  </si>
  <si>
    <t>Flumi 51 WDG</t>
  </si>
  <si>
    <t>flumioxazin</t>
  </si>
  <si>
    <t>paraquat dichloride</t>
  </si>
  <si>
    <t>Paraquat</t>
  </si>
  <si>
    <t>Poast Plus</t>
  </si>
  <si>
    <t>Sethoxydim</t>
  </si>
  <si>
    <t>Prowl H2O</t>
  </si>
  <si>
    <t>pendimethalin</t>
  </si>
  <si>
    <t>Pursuit</t>
  </si>
  <si>
    <t>imazethapyr</t>
  </si>
  <si>
    <t>Roundup PowerMax</t>
  </si>
  <si>
    <t>glyphosate</t>
  </si>
  <si>
    <t>Satellite Hydrocap</t>
  </si>
  <si>
    <t>Select Max</t>
  </si>
  <si>
    <t>clethodim</t>
  </si>
  <si>
    <t>Strongarm 84 WDG</t>
  </si>
  <si>
    <t>diclosulam</t>
  </si>
  <si>
    <t>Valor</t>
  </si>
  <si>
    <t>Insecticide Product Names</t>
  </si>
  <si>
    <t>Acronyx</t>
  </si>
  <si>
    <t>imidacloprid</t>
  </si>
  <si>
    <t>Admire Pro</t>
  </si>
  <si>
    <t>Batallion 2 EC</t>
  </si>
  <si>
    <t>bifenthrin</t>
  </si>
  <si>
    <t>Besiege</t>
  </si>
  <si>
    <t>chlorantraniliprole + lambda-cyhalothrin</t>
  </si>
  <si>
    <t>Bifenthrin 2 EC</t>
  </si>
  <si>
    <t>Brigade 2EC</t>
  </si>
  <si>
    <t>Comite II</t>
  </si>
  <si>
    <t>Propargite</t>
  </si>
  <si>
    <t>Coragen EVO</t>
  </si>
  <si>
    <t>chlorantraniliprole</t>
  </si>
  <si>
    <t>Diamond</t>
  </si>
  <si>
    <t>novaluron</t>
  </si>
  <si>
    <t>Dimilin</t>
  </si>
  <si>
    <t>diflubenzuron</t>
  </si>
  <si>
    <t>Dipel DF</t>
  </si>
  <si>
    <t>Bacillus thuringiensis (Bt)</t>
  </si>
  <si>
    <t>Intrepid 2F</t>
  </si>
  <si>
    <t>methoxyfenozide</t>
  </si>
  <si>
    <t>Intrepid Edge</t>
  </si>
  <si>
    <t>methoxyfenozide + spinetoram</t>
  </si>
  <si>
    <t>Pilot 4E</t>
  </si>
  <si>
    <t>Chlorpyrifos</t>
  </si>
  <si>
    <t>Portal</t>
  </si>
  <si>
    <t>Fepyroximate</t>
  </si>
  <si>
    <t>Radiant SC</t>
  </si>
  <si>
    <t>spinetoram</t>
  </si>
  <si>
    <t>Sivanto Prime</t>
  </si>
  <si>
    <t>Flupyradifurone</t>
  </si>
  <si>
    <t>Steward EC</t>
  </si>
  <si>
    <t>Indoxacarb</t>
  </si>
  <si>
    <t>Thimet 20-G EZ Load</t>
  </si>
  <si>
    <t>phorate</t>
  </si>
  <si>
    <t>Warrior II</t>
  </si>
  <si>
    <t>lambda-cyhalothrin</t>
  </si>
  <si>
    <t>Nematicide Product Names</t>
  </si>
  <si>
    <t>Aglogic 15GG</t>
  </si>
  <si>
    <t>aldicarb</t>
  </si>
  <si>
    <t>Propulse</t>
  </si>
  <si>
    <t>Fluopyram + Prothioconazole</t>
  </si>
  <si>
    <t>Telone II</t>
  </si>
  <si>
    <t>1,3-dichloropropene</t>
  </si>
  <si>
    <t>Velum</t>
  </si>
  <si>
    <t>Fluopyram</t>
  </si>
  <si>
    <t>Vydate C-LV</t>
  </si>
  <si>
    <t>Oxamyl</t>
  </si>
  <si>
    <t>Type/Use</t>
  </si>
  <si>
    <t>90/10 Surfactant</t>
  </si>
  <si>
    <t>Tank mix with chemical sprays</t>
  </si>
  <si>
    <t>Crop oil</t>
  </si>
  <si>
    <t>Cover crop seed</t>
  </si>
  <si>
    <t>MACHINERY LISTS (FALL 2024)</t>
  </si>
  <si>
    <t>Interest rate on machinery:</t>
  </si>
  <si>
    <t>TRACTORS &amp; SELF-PROPELLED MACHINERY</t>
  </si>
  <si>
    <t>Estimated Annual Costs</t>
  </si>
  <si>
    <t>Per Hour</t>
  </si>
  <si>
    <t>Machinery Description</t>
  </si>
  <si>
    <t>Machine Category</t>
  </si>
  <si>
    <t>Rated Horsepower</t>
  </si>
  <si>
    <t>2024 List Price</t>
  </si>
  <si>
    <t>Annual Hours</t>
  </si>
  <si>
    <t>Use Life (years)</t>
  </si>
  <si>
    <t>Salvage Value</t>
  </si>
  <si>
    <t>Deprec + Interest or Lease</t>
  </si>
  <si>
    <t>Tax Ins Hsg &amp; Subs</t>
  </si>
  <si>
    <t>Total Ownership Cost</t>
  </si>
  <si>
    <t>Repair &amp; Maintenance</t>
  </si>
  <si>
    <t>Ownership Allocation</t>
  </si>
  <si>
    <t>R &amp; M Cost</t>
  </si>
  <si>
    <t>Fuel Gallons</t>
  </si>
  <si>
    <t>Highboy sprayer SP, 80-100' boom, 600-800 gal</t>
  </si>
  <si>
    <t>Sprayer</t>
  </si>
  <si>
    <t>Highboy sprayer SP, 120' boom, 900-1000 gal</t>
  </si>
  <si>
    <t>Highboy sprayer SP, 120' boom, 1200-1600 gal</t>
  </si>
  <si>
    <t>Highboy dry spreader SP, 200-255 cu ft dry box</t>
  </si>
  <si>
    <t>Highboy dry spreader SP, 300-330 cu ft dry box</t>
  </si>
  <si>
    <t>Peanut combine SP, 10-row</t>
  </si>
  <si>
    <t>Combine, self-propelled</t>
  </si>
  <si>
    <t>Tractor, 150-174 hp</t>
  </si>
  <si>
    <t>Tractor, 4WD, large (&gt;150 hp)</t>
  </si>
  <si>
    <t>Tractor, 175-199 hp</t>
  </si>
  <si>
    <t>Tractor, 200-224 hp</t>
  </si>
  <si>
    <t>Tractor, 225-249 hp</t>
  </si>
  <si>
    <t>Tractor, 250-274 hp</t>
  </si>
  <si>
    <t>Tractor, 275-299 hp</t>
  </si>
  <si>
    <t>Tractor, 300-324 hp</t>
  </si>
  <si>
    <t>Tractor, 325-349 hp</t>
  </si>
  <si>
    <t>Tractor, 350-374 hp</t>
  </si>
  <si>
    <t>Tractor, 375-399 hp</t>
  </si>
  <si>
    <t>Tractor, 400-435 hp</t>
  </si>
  <si>
    <t>IMPLEMENTS</t>
  </si>
  <si>
    <t>Coverage Width (feet)</t>
  </si>
  <si>
    <t>Operating Speed (mph)</t>
  </si>
  <si>
    <t>Tax Ins Hsg</t>
  </si>
  <si>
    <t>Cover crop roller crimper, 6 row</t>
  </si>
  <si>
    <t>Roller-packer</t>
  </si>
  <si>
    <t>Cover crop roller crimper, 8 row</t>
  </si>
  <si>
    <t>Cover crop roller crimper, 12 row</t>
  </si>
  <si>
    <t>Disc harrow, 12-19'</t>
  </si>
  <si>
    <t>Disk</t>
  </si>
  <si>
    <t>Disc harrow, 20-27'</t>
  </si>
  <si>
    <t>Disc harrow, 28-32'</t>
  </si>
  <si>
    <t>Dry fertilizer bander/side-dresser, 3 hopper 500 lbs with hose holder</t>
  </si>
  <si>
    <t>Spreader</t>
  </si>
  <si>
    <t>Dry fertilizer bander/side-dresser, 3 hopper 500 lbs with double disc openers</t>
  </si>
  <si>
    <t>Dry fertilizer bander/side-dresser, 3 hopper 1000 lbs with hose holder</t>
  </si>
  <si>
    <t>Dry fertilizer bander/side-dresser, 3 hopper 1000 lbs with double disc openers</t>
  </si>
  <si>
    <t>Dry fertilizer bander/side-dresser, 3 hopper 1250 lbs with hose holder</t>
  </si>
  <si>
    <t>Dry fertilizer bander/side-dresser, 3 hopper 1250 lbs with double disc openers</t>
  </si>
  <si>
    <t>Dry fertilizer bander/side-dresser, 4 hopper 500 lbs with hose holder</t>
  </si>
  <si>
    <t>Dry fertilizer bander/side-dresser, 4 hopper 500 lbs with double disc openers</t>
  </si>
  <si>
    <t>Dry fertilizer bander/side-dresser, 4 hopper 1000 lbs with hose holder</t>
  </si>
  <si>
    <t>Dry fertilizer bander/side-dresser, 4 hopper 1000 lbs with double disc openers</t>
  </si>
  <si>
    <t>Dry fertilizer bander/side-dresser, 4 hopper 1250 lbs with hose holder</t>
  </si>
  <si>
    <t>Dry fertilizer bander/side-dresser, 4 hopper 1250 lbs with double disc openers</t>
  </si>
  <si>
    <t>Dry fertilizer bander/side-dresser, 6 hopper 500 lbs with hose holder</t>
  </si>
  <si>
    <t>Dry fertilizer bander/side-dresser, 6 hopper 500 lbs with double disc openers</t>
  </si>
  <si>
    <t>Dry fertilizer bander/side-dresser, 6 hopper 1000 lbs with hose holder</t>
  </si>
  <si>
    <t>Dry fertilizer bander/side-dresser, 6 hopper 1000 lbs with double disc openers</t>
  </si>
  <si>
    <t>Dry fertilizer bander/side-dresser, 6 hopper 1250 lbs with hose holder</t>
  </si>
  <si>
    <t>Dry fertilizer bander/side-dresser, 6 hopper 1250 lbs with double disc openers</t>
  </si>
  <si>
    <t>Field cultivator, 18-27'</t>
  </si>
  <si>
    <t>Field cultivator</t>
  </si>
  <si>
    <t>Field cultivator, 28-32'</t>
  </si>
  <si>
    <t>Field cultivator, 33-46'</t>
  </si>
  <si>
    <t>Hydraulic dump cart, 750 cu ft</t>
  </si>
  <si>
    <t>Wagon</t>
  </si>
  <si>
    <t xml:space="preserve"> </t>
  </si>
  <si>
    <t>Hydraulic dump cart, 950-1100 cu ft</t>
  </si>
  <si>
    <t>No-till box drill, 10-12'</t>
  </si>
  <si>
    <t>Grain drill</t>
  </si>
  <si>
    <t>No-till box drill, 15'</t>
  </si>
  <si>
    <t>No-till box drill, 20'</t>
  </si>
  <si>
    <t>Peanut combine, pull-type, 4-row</t>
  </si>
  <si>
    <t>Combine, pull-type</t>
  </si>
  <si>
    <t>Peanut combine, pull-type, 6-row</t>
  </si>
  <si>
    <t>Peanut digger/inverter, pull-type, 4-row</t>
  </si>
  <si>
    <t>Peanut digger/inverter, pull-type, 6-row</t>
  </si>
  <si>
    <t>Peanut vine conditioner, 6-row</t>
  </si>
  <si>
    <t>Planter, integral, 12-row, 30" - 36" rows</t>
  </si>
  <si>
    <t>Planter, row crop</t>
  </si>
  <si>
    <t>Planter, drawn, 6-row</t>
  </si>
  <si>
    <t>Planter, drawn, 8-row</t>
  </si>
  <si>
    <t>Planter, drawn, 8-row no till with mounted liquid fertilizer</t>
  </si>
  <si>
    <t>Planter, drawn, 12-row</t>
  </si>
  <si>
    <t>Plow, 5-bottom moldboard</t>
  </si>
  <si>
    <t>Plow, moldboard</t>
  </si>
  <si>
    <t>Plow, 6-bottom moldboard</t>
  </si>
  <si>
    <t>Plow, 7-bottom moldboard</t>
  </si>
  <si>
    <t>Plow, 8-bottom moldboard</t>
  </si>
  <si>
    <t>Ripper-bedder, 6-row</t>
  </si>
  <si>
    <t>Plow, chisel</t>
  </si>
  <si>
    <t>Ripper-bedder, 8-row</t>
  </si>
  <si>
    <t>Ripper-bedder, 12-row</t>
  </si>
  <si>
    <t>Ripper-stripper, 6-row</t>
  </si>
  <si>
    <t>Ripper-stripper, 8-row</t>
  </si>
  <si>
    <t>Ripper-stripper, 12-row</t>
  </si>
  <si>
    <t>Row crop cultivator, 12-row</t>
  </si>
  <si>
    <t>Row crop cultivator</t>
  </si>
  <si>
    <t>Sprayer, 3-pt hitch, 30' boom, 300 gal</t>
  </si>
  <si>
    <t>Sprayer, 3-pt hitch, 45' boom, 200 gal</t>
  </si>
  <si>
    <t>Sprayer, 3-pt hitch, 45' boom, 300 gal</t>
  </si>
  <si>
    <t>Sprayer, 3-pt hitch, 60' boom, 300 gal</t>
  </si>
  <si>
    <t>Sprayer, pull-type, 45' boom, 400-500 gal</t>
  </si>
  <si>
    <t>Sprayer, pull-type, 60' boom, 500-600 gal</t>
  </si>
  <si>
    <t>Sprayer, pull-type, 60' boom, 700-1050 gal</t>
  </si>
  <si>
    <t>Sprayer, pull-type, 80-90' boom, 1200-1600 gal</t>
  </si>
  <si>
    <t>Sprayer, pull-type, 100-120' boom, 1200-2400 gal</t>
  </si>
  <si>
    <t>Spreader, pull-type, medium clearance, 6-ton, 200 cu ft</t>
  </si>
  <si>
    <t>Spreader, pull-type, high clearance, 8-ton, 242 cu ft</t>
  </si>
  <si>
    <t>Spreader, pull-type, high clearance, 14-ton, 450 cu ft</t>
  </si>
  <si>
    <t>Spreader, pull-type, high clearance, 18-ton, 580 cu ft</t>
  </si>
  <si>
    <t>Spreader, pull-type, high clearance, 22-ton, 710 cu ft</t>
  </si>
  <si>
    <t>Strip till tool, 8-row</t>
  </si>
  <si>
    <t>Strip till tool, 12-row, 3-pt, integral</t>
  </si>
  <si>
    <t>Strip till tool, 12-row, 3-pt, drawn</t>
  </si>
  <si>
    <t>Strip till tool, 12-row, pull-type</t>
  </si>
  <si>
    <t>Strip till tool, 16-row, 3-pt, integral</t>
  </si>
  <si>
    <t>Strip till tool, 16-row, 3-pt, drawn</t>
  </si>
  <si>
    <t>Strip till tool, 16-row, pull-type</t>
  </si>
  <si>
    <t>Vertical tillage tool, 12-16'</t>
  </si>
  <si>
    <t>Vertical tillage tool, 20-27'</t>
  </si>
  <si>
    <t>Vertical tillage tool, 28-34'</t>
  </si>
  <si>
    <t>FARM VEHICLES</t>
  </si>
  <si>
    <t>Per Mile</t>
  </si>
  <si>
    <t>Vehicle Description</t>
  </si>
  <si>
    <t>Size/Capacity</t>
  </si>
  <si>
    <t>Horsepower</t>
  </si>
  <si>
    <t>Annual Miles</t>
  </si>
  <si>
    <t>Pickup truck, heavy duty, one-ton</t>
  </si>
  <si>
    <t>one-ton</t>
  </si>
  <si>
    <t>Pickup truck, heavy duty, three-quarter ton</t>
  </si>
  <si>
    <t>three-quarter ton</t>
  </si>
  <si>
    <t>Pickup truck, regular duty, half-ton</t>
  </si>
  <si>
    <t>half-ton</t>
  </si>
  <si>
    <t>MACHINERY AND IRRIGATION COEFFICIENTS</t>
  </si>
  <si>
    <t>Machinery Salvage Value and Repair &amp; Maintenance Coefficients</t>
  </si>
  <si>
    <t>Source: American Society of Agricultural and Biological Engineers, Agricultural Machinery Management Data, ASAE D497.7 MAR2011 (R2015)</t>
  </si>
  <si>
    <t>C1</t>
  </si>
  <si>
    <t>C2</t>
  </si>
  <si>
    <t>C3</t>
  </si>
  <si>
    <t>RF1</t>
  </si>
  <si>
    <t>RF2</t>
  </si>
  <si>
    <t>Cotton picker, self-propelled</t>
  </si>
  <si>
    <t>Forage harvester, pull-type</t>
  </si>
  <si>
    <t>Forage harvester, self-propelled</t>
  </si>
  <si>
    <t>Forage wagon</t>
  </si>
  <si>
    <t>Hay baler, large round</t>
  </si>
  <si>
    <t>Hay baler, small rectangular</t>
  </si>
  <si>
    <t>Hay rake</t>
  </si>
  <si>
    <t>Mower</t>
  </si>
  <si>
    <t>Mower (rotary)</t>
  </si>
  <si>
    <t>Mower-conditioner</t>
  </si>
  <si>
    <t>Mower-conditioner (rotary)</t>
  </si>
  <si>
    <t>Picker sheller</t>
  </si>
  <si>
    <t>Stalk puller/chopper</t>
  </si>
  <si>
    <t>Tractor, 4WD, medium (80-150 hp)</t>
  </si>
  <si>
    <t>Windrower, self-propelled</t>
  </si>
  <si>
    <t>Irrigation Energy Use Estimates</t>
  </si>
  <si>
    <t>Source: Martin, D.L., T.W. Dorn, S.R. Melvin, A.J. Corr, and W.L. Kranz. 2011. Evaluating Energy Use for Pumping Irrigation Water. Proceedings of the 23rd Annual Central Plains Irrigation Conference.</t>
  </si>
  <si>
    <t>Diesel Fuel Gallons per Acre-Inch of Water Pumped at 80% Performance Rating</t>
  </si>
  <si>
    <t>Pressure at Pump Discharge, psi</t>
  </si>
  <si>
    <t>Lift Feet</t>
  </si>
  <si>
    <t>Electricity Kilowatt-Hours per Acre-Inch of Water Pumped at 80% Performance Rating</t>
  </si>
  <si>
    <t>Aerial spraying - low rate</t>
  </si>
  <si>
    <t>2-4 gal per acre</t>
  </si>
  <si>
    <t>Aerial spraying - med rate</t>
  </si>
  <si>
    <t>5-8 gal per acre</t>
  </si>
  <si>
    <t>Aerial spraying - high rate</t>
  </si>
  <si>
    <t>9-10 gal per acre</t>
  </si>
  <si>
    <t>ace</t>
  </si>
  <si>
    <t>Fixed annual standby charge ($)</t>
  </si>
  <si>
    <t>Runner-type peanut</t>
  </si>
  <si>
    <t>Irrigated sandy soil</t>
  </si>
  <si>
    <t>corn followed by winter cover crop</t>
  </si>
  <si>
    <t>Center pivot</t>
  </si>
  <si>
    <t>Electric</t>
  </si>
  <si>
    <t>This sample budget contains estimates of costs and returns for growing runner-type peanuts under irrigation in the Suwannee Valley in 2025. Estimates are based on information from input suppliers, equipment manufacturers, price reports, crop specialists, and extension agents. The budget is for a single field on a hypothetical farm growing 1,000 acres of peanuts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t>
  </si>
  <si>
    <t>Prep cover crop seed bed</t>
  </si>
  <si>
    <t>Spray applications</t>
  </si>
  <si>
    <t>Strip till &amp; plant in one pass</t>
  </si>
  <si>
    <t>Dig peanuts</t>
  </si>
  <si>
    <t>Harvest peanuts</t>
  </si>
  <si>
    <t>Soil testing/grid sampling-2.5acre</t>
  </si>
  <si>
    <t>Soil testing/grid sampling-5acre</t>
  </si>
  <si>
    <t>Variable rate spreading-2.5 acre</t>
  </si>
  <si>
    <t>Variable rate spreading-5 acre</t>
  </si>
  <si>
    <t>Variable rate spreading-10acre</t>
  </si>
  <si>
    <t>Soil testing/grid sampling-10acre</t>
  </si>
  <si>
    <t>2.5-acre grids</t>
  </si>
  <si>
    <t>10-acre grids</t>
  </si>
  <si>
    <t>Single-rate spreading of dry fertilizer</t>
  </si>
  <si>
    <t>Driving related to tractor operations</t>
  </si>
  <si>
    <t>Driving related to irrigation operations</t>
  </si>
  <si>
    <t>*For number of trips, if only cover part of a field with an operation or if apply every other year, enter a number less than 1 (decimal form):  for example, 0.5 for half the field.</t>
  </si>
  <si>
    <t>Peanut inoculant</t>
  </si>
  <si>
    <t>Fall/winter</t>
  </si>
  <si>
    <t>Peanut seeds</t>
  </si>
  <si>
    <t>In-field transport with dump cart</t>
  </si>
  <si>
    <t>Gramoxone SL 2.0</t>
  </si>
  <si>
    <t>Cover crop burndown</t>
  </si>
  <si>
    <t>Spread fertilizer, potash, gypsum</t>
  </si>
  <si>
    <t>This sample budget was prepared by Kevin Athearn, Amanda Phillips, Barry Tillman, Keith Wynn, Nicholas Dufault, Ian Small, Joel Love, Shivendra Kumar, Jay Capasso, Zane Grabau, Isaac Esquivel, Ednaldo Borgato, Mark Warren, Emily Beach, Ethan Carter, and Mark Mauldin. We would like to thank the ag input suppliers and equipment manufacturers who provided cost quotes, as well as the farmers and consultants who reviewed and provided feedback on earlier drafts of this budget.</t>
  </si>
  <si>
    <t>Hand weeding</t>
  </si>
  <si>
    <t>Well, pump, panel, controllers</t>
  </si>
  <si>
    <t>Broadcast cover crop seed</t>
  </si>
  <si>
    <t>Incorporate cover crop seed</t>
  </si>
  <si>
    <t>Nurse tank trailer, 1000 gal</t>
  </si>
  <si>
    <t>Nurse tank trailer, 1600 gal</t>
  </si>
  <si>
    <t>Moving water for spray applications</t>
  </si>
  <si>
    <t>2025 Pre-Season (February)</t>
  </si>
  <si>
    <t>Version:  2025 Pre-Season</t>
  </si>
  <si>
    <t>Yield (tons/ac)</t>
  </si>
  <si>
    <t>PRODUCTION COSTS</t>
  </si>
  <si>
    <t>per Acre</t>
  </si>
  <si>
    <t>per Ton</t>
  </si>
  <si>
    <t>per Field</t>
  </si>
  <si>
    <t>`</t>
  </si>
  <si>
    <t>Total Production Cost</t>
  </si>
  <si>
    <t>REVENUES &amp; MARKETING COSTS</t>
  </si>
  <si>
    <t>Marketing-Related Costs</t>
  </si>
  <si>
    <t>PROFIT</t>
  </si>
  <si>
    <t>Variable production cost, not including land</t>
  </si>
  <si>
    <t>Fixed production cost, not including land</t>
  </si>
  <si>
    <t>Gross profit (return to management, G&amp;A &amp; profit)</t>
  </si>
  <si>
    <t>Rented</t>
  </si>
  <si>
    <t>Suwannee Valley Irrigated Peanut - Strip-Till, Rented 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</si>
</sst>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quot;$&quot;#,##0"/>
    <numFmt numFmtId="165" formatCode="&quot;$&quot;#,##0.00"/>
    <numFmt numFmtId="166" formatCode="0.0"/>
    <numFmt numFmtId="167" formatCode="0.0000"/>
    <numFmt numFmtId="168" formatCode="_(&quot;$&quot;* #,##0_);_(&quot;$&quot;* \(#,##0\);_(&quot;$&quot;* &quot;-&quot;??_);_(@_)"/>
    <numFmt numFmtId="169" formatCode="0.000"/>
    <numFmt numFmtId="170" formatCode="_(&quot;$&quot;* #,##0.0_);_(&quot;$&quot;* \(#,##0.0\);_(&quot;$&quot;* &quot;-&quot;?_);_(@_)"/>
  </numFmts>
  <fonts count="11" x14ac:knownFonts="1">
    <font>
      <sz val="11"/>
      <color theme="1"/>
      <name val="Aptos Narrow"/>
      <family val="2"/>
      <scheme val="minor"/>
    </font>
    <font>
      <b/>
      <sz val="11"/>
      <color theme="1"/>
      <name val="Aptos Narrow"/>
      <family val="2"/>
      <scheme val="minor"/>
    </font>
    <font>
      <b/>
      <sz val="11"/>
      <name val="Aptos Narrow"/>
      <family val="2"/>
      <scheme val="minor"/>
    </font>
    <font>
      <sz val="11"/>
      <color theme="1"/>
      <name val="Aptos Narrow"/>
      <family val="2"/>
      <scheme val="minor"/>
    </font>
    <font>
      <b/>
      <sz val="14"/>
      <color theme="0"/>
      <name val="Calibri"/>
      <family val="2"/>
    </font>
    <font>
      <b/>
      <sz val="14"/>
      <color rgb="FF003087"/>
      <name val="Calibri"/>
      <family val="2"/>
    </font>
    <font>
      <sz val="11"/>
      <color rgb="FF003087"/>
      <name val="Aptos Narrow"/>
      <family val="2"/>
      <scheme val="minor"/>
    </font>
    <font>
      <vertAlign val="superscript"/>
      <sz val="11"/>
      <color theme="1"/>
      <name val="Aptos Narrow"/>
      <family val="2"/>
      <scheme val="minor"/>
    </font>
    <font>
      <b/>
      <sz val="14"/>
      <name val="Aptos Narrow"/>
      <family val="2"/>
      <scheme val="minor"/>
    </font>
    <font>
      <b/>
      <sz val="14"/>
      <color theme="1"/>
      <name val="Aptos Narrow"/>
      <family val="2"/>
      <scheme val="minor"/>
    </font>
    <font>
      <sz val="11"/>
      <name val="Aptos Narrow"/>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003087"/>
        <bgColor indexed="64"/>
      </patternFill>
    </fill>
    <fill>
      <patternFill patternType="solid">
        <fgColor theme="3" tint="0.89999084444715716"/>
        <bgColor indexed="64"/>
      </patternFill>
    </fill>
    <fill>
      <patternFill patternType="solid">
        <fgColor rgb="FF5B89B4"/>
        <bgColor indexed="64"/>
      </patternFill>
    </fill>
    <fill>
      <patternFill patternType="solid">
        <fgColor rgb="FFD87C38"/>
        <bgColor indexed="64"/>
      </patternFill>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ck">
        <color rgb="FFD87C38"/>
      </bottom>
      <diagonal/>
    </border>
    <border>
      <left/>
      <right/>
      <top style="thick">
        <color rgb="FFD87C38"/>
      </top>
      <bottom/>
      <diagonal/>
    </border>
    <border>
      <left style="medium">
        <color indexed="64"/>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246">
    <xf numFmtId="0" fontId="0" fillId="0" borderId="0" xfId="0"/>
    <xf numFmtId="0" fontId="0" fillId="0" borderId="1" xfId="0" applyBorder="1"/>
    <xf numFmtId="164" fontId="0" fillId="0" borderId="1" xfId="0" applyNumberFormat="1" applyBorder="1"/>
    <xf numFmtId="0" fontId="1" fillId="0" borderId="0" xfId="0" applyFont="1"/>
    <xf numFmtId="167" fontId="0" fillId="0" borderId="0" xfId="0" applyNumberFormat="1"/>
    <xf numFmtId="167" fontId="0" fillId="0" borderId="12" xfId="0" applyNumberFormat="1" applyBorder="1"/>
    <xf numFmtId="0" fontId="1" fillId="0" borderId="2" xfId="0" applyFont="1" applyBorder="1"/>
    <xf numFmtId="0" fontId="1" fillId="2" borderId="1" xfId="0" applyFont="1" applyFill="1" applyBorder="1"/>
    <xf numFmtId="0" fontId="1" fillId="2" borderId="1" xfId="0" applyFont="1" applyFill="1" applyBorder="1" applyAlignment="1">
      <alignment horizontal="right"/>
    </xf>
    <xf numFmtId="0" fontId="4" fillId="0" borderId="0" xfId="0" applyFont="1"/>
    <xf numFmtId="0" fontId="1" fillId="4" borderId="1" xfId="0" applyFont="1" applyFill="1" applyBorder="1"/>
    <xf numFmtId="0" fontId="1" fillId="2" borderId="0" xfId="0" applyFont="1" applyFill="1"/>
    <xf numFmtId="0" fontId="1" fillId="2" borderId="0" xfId="0" applyFont="1" applyFill="1" applyAlignment="1">
      <alignment horizontal="right" wrapText="1"/>
    </xf>
    <xf numFmtId="0" fontId="1" fillId="2" borderId="0" xfId="0" applyFont="1" applyFill="1" applyAlignment="1">
      <alignment horizontal="right"/>
    </xf>
    <xf numFmtId="0" fontId="1" fillId="0" borderId="4" xfId="0" applyFont="1" applyBorder="1"/>
    <xf numFmtId="0" fontId="1" fillId="0" borderId="9" xfId="0" applyFont="1" applyBorder="1"/>
    <xf numFmtId="0" fontId="0" fillId="4" borderId="1" xfId="0" applyFill="1" applyBorder="1"/>
    <xf numFmtId="0" fontId="0" fillId="5" borderId="0" xfId="0" applyFill="1"/>
    <xf numFmtId="0" fontId="1" fillId="5" borderId="0" xfId="0" applyFont="1" applyFill="1"/>
    <xf numFmtId="0" fontId="0" fillId="5" borderId="0" xfId="0" applyFill="1" applyAlignment="1">
      <alignment horizontal="right"/>
    </xf>
    <xf numFmtId="0" fontId="1" fillId="2" borderId="2" xfId="0" applyFont="1" applyFill="1" applyBorder="1"/>
    <xf numFmtId="0" fontId="0" fillId="2" borderId="0" xfId="0" applyFill="1"/>
    <xf numFmtId="164" fontId="0" fillId="4" borderId="1" xfId="0" applyNumberFormat="1" applyFill="1" applyBorder="1"/>
    <xf numFmtId="0" fontId="0" fillId="4" borderId="8" xfId="0" applyFill="1" applyBorder="1"/>
    <xf numFmtId="0" fontId="0" fillId="5" borderId="0" xfId="0" applyFill="1" applyAlignment="1">
      <alignment vertical="top" wrapText="1"/>
    </xf>
    <xf numFmtId="0" fontId="1" fillId="2" borderId="4" xfId="0" applyFont="1" applyFill="1" applyBorder="1"/>
    <xf numFmtId="0" fontId="2" fillId="5" borderId="0" xfId="0" applyFont="1" applyFill="1"/>
    <xf numFmtId="0" fontId="0" fillId="5" borderId="3" xfId="0" applyFill="1" applyBorder="1"/>
    <xf numFmtId="0" fontId="2" fillId="2" borderId="0" xfId="0" applyFont="1" applyFill="1"/>
    <xf numFmtId="0" fontId="0" fillId="2" borderId="2" xfId="0" applyFill="1" applyBorder="1"/>
    <xf numFmtId="0" fontId="1" fillId="2" borderId="5" xfId="0" applyFont="1" applyFill="1" applyBorder="1"/>
    <xf numFmtId="0" fontId="1" fillId="2" borderId="5" xfId="0" applyFont="1" applyFill="1" applyBorder="1" applyAlignment="1">
      <alignment horizontal="right" wrapText="1"/>
    </xf>
    <xf numFmtId="0" fontId="1" fillId="2" borderId="6" xfId="0" applyFont="1" applyFill="1" applyBorder="1" applyAlignment="1">
      <alignment horizontal="right" wrapText="1"/>
    </xf>
    <xf numFmtId="0" fontId="1" fillId="2" borderId="7" xfId="0" applyFont="1" applyFill="1" applyBorder="1" applyAlignment="1">
      <alignment horizontal="right" wrapText="1"/>
    </xf>
    <xf numFmtId="0" fontId="1" fillId="2" borderId="1" xfId="0" applyFont="1" applyFill="1" applyBorder="1" applyAlignment="1">
      <alignment horizontal="right" wrapText="1"/>
    </xf>
    <xf numFmtId="0" fontId="1" fillId="2" borderId="4" xfId="0" applyFont="1" applyFill="1" applyBorder="1" applyAlignment="1">
      <alignment horizontal="right" wrapText="1"/>
    </xf>
    <xf numFmtId="0" fontId="1" fillId="2" borderId="1" xfId="0" applyFont="1" applyFill="1" applyBorder="1" applyAlignment="1">
      <alignment wrapText="1"/>
    </xf>
    <xf numFmtId="0" fontId="0" fillId="6" borderId="0" xfId="0" applyFill="1"/>
    <xf numFmtId="0" fontId="1" fillId="2" borderId="10" xfId="0" applyFont="1" applyFill="1" applyBorder="1" applyAlignment="1">
      <alignment horizontal="right"/>
    </xf>
    <xf numFmtId="0" fontId="1" fillId="2" borderId="4" xfId="0" applyFont="1" applyFill="1" applyBorder="1" applyAlignment="1">
      <alignment horizontal="left"/>
    </xf>
    <xf numFmtId="0" fontId="1" fillId="6" borderId="0" xfId="0" applyFont="1" applyFill="1" applyAlignment="1">
      <alignment horizontal="right"/>
    </xf>
    <xf numFmtId="0" fontId="0" fillId="6" borderId="0" xfId="0" applyFill="1" applyAlignment="1">
      <alignment horizontal="right"/>
    </xf>
    <xf numFmtId="0" fontId="0" fillId="6" borderId="0" xfId="0" applyFill="1" applyAlignment="1">
      <alignment horizontal="center"/>
    </xf>
    <xf numFmtId="168" fontId="0" fillId="6" borderId="0" xfId="2" applyNumberFormat="1" applyFont="1" applyFill="1"/>
    <xf numFmtId="0" fontId="1" fillId="5" borderId="0" xfId="0" applyFont="1" applyFill="1" applyAlignment="1">
      <alignment horizontal="right"/>
    </xf>
    <xf numFmtId="0" fontId="1" fillId="2" borderId="8" xfId="0" applyFont="1" applyFill="1" applyBorder="1"/>
    <xf numFmtId="0" fontId="1" fillId="2" borderId="8" xfId="0" applyFont="1" applyFill="1" applyBorder="1" applyAlignment="1">
      <alignment horizontal="right"/>
    </xf>
    <xf numFmtId="0" fontId="1" fillId="2" borderId="8" xfId="0" applyFont="1" applyFill="1" applyBorder="1" applyAlignment="1">
      <alignment horizontal="left"/>
    </xf>
    <xf numFmtId="0" fontId="1" fillId="2" borderId="8" xfId="0" applyFont="1" applyFill="1" applyBorder="1" applyAlignment="1">
      <alignment horizontal="right" wrapText="1"/>
    </xf>
    <xf numFmtId="0" fontId="2" fillId="2" borderId="1" xfId="0" applyFont="1" applyFill="1" applyBorder="1" applyAlignment="1">
      <alignment horizontal="right"/>
    </xf>
    <xf numFmtId="165" fontId="0" fillId="4" borderId="1" xfId="0" applyNumberFormat="1" applyFill="1" applyBorder="1"/>
    <xf numFmtId="0" fontId="1" fillId="0" borderId="13" xfId="0" applyFont="1" applyBorder="1" applyAlignment="1">
      <alignment horizontal="right"/>
    </xf>
    <xf numFmtId="0" fontId="1" fillId="0" borderId="3" xfId="0" applyFont="1" applyBorder="1"/>
    <xf numFmtId="0" fontId="1" fillId="2" borderId="4" xfId="0" applyFont="1" applyFill="1" applyBorder="1" applyAlignment="1">
      <alignment horizontal="right"/>
    </xf>
    <xf numFmtId="164" fontId="1" fillId="4" borderId="1" xfId="0" applyNumberFormat="1" applyFont="1" applyFill="1" applyBorder="1"/>
    <xf numFmtId="0" fontId="10" fillId="0" borderId="0" xfId="0" applyFont="1" applyAlignment="1">
      <alignment horizontal="right"/>
    </xf>
    <xf numFmtId="167" fontId="0" fillId="0" borderId="1" xfId="0" applyNumberFormat="1" applyBorder="1"/>
    <xf numFmtId="166" fontId="0" fillId="0" borderId="1" xfId="0" applyNumberFormat="1" applyBorder="1"/>
    <xf numFmtId="0" fontId="2" fillId="2" borderId="1" xfId="0" applyFont="1" applyFill="1" applyBorder="1"/>
    <xf numFmtId="0" fontId="7" fillId="2" borderId="0" xfId="0" applyFont="1" applyFill="1"/>
    <xf numFmtId="0" fontId="2" fillId="2" borderId="0" xfId="0" applyFont="1" applyFill="1" applyAlignment="1">
      <alignment horizontal="right" wrapText="1"/>
    </xf>
    <xf numFmtId="0" fontId="2" fillId="2" borderId="0" xfId="0" applyFont="1" applyFill="1" applyAlignment="1">
      <alignment horizontal="right"/>
    </xf>
    <xf numFmtId="0" fontId="2" fillId="2" borderId="17" xfId="0" applyFont="1" applyFill="1" applyBorder="1" applyAlignment="1">
      <alignment horizontal="right" wrapText="1"/>
    </xf>
    <xf numFmtId="0" fontId="0" fillId="2" borderId="2" xfId="0" applyFill="1" applyBorder="1" applyAlignment="1">
      <alignment horizontal="center"/>
    </xf>
    <xf numFmtId="0" fontId="0" fillId="2" borderId="2" xfId="0" applyFill="1" applyBorder="1" applyAlignment="1">
      <alignment horizontal="right"/>
    </xf>
    <xf numFmtId="0" fontId="0" fillId="2" borderId="20" xfId="0" applyFill="1" applyBorder="1" applyAlignment="1">
      <alignment horizontal="right"/>
    </xf>
    <xf numFmtId="165" fontId="0" fillId="4" borderId="5" xfId="0" applyNumberFormat="1" applyFill="1" applyBorder="1"/>
    <xf numFmtId="0" fontId="10" fillId="2" borderId="0" xfId="0" applyFont="1" applyFill="1"/>
    <xf numFmtId="0" fontId="2" fillId="2" borderId="0" xfId="0" applyFont="1" applyFill="1" applyAlignment="1">
      <alignment horizontal="center" wrapText="1"/>
    </xf>
    <xf numFmtId="0" fontId="2" fillId="2" borderId="22" xfId="0" applyFont="1" applyFill="1" applyBorder="1" applyAlignment="1">
      <alignment horizontal="right"/>
    </xf>
    <xf numFmtId="0" fontId="2" fillId="2" borderId="13" xfId="0" applyFont="1" applyFill="1" applyBorder="1"/>
    <xf numFmtId="0" fontId="2" fillId="2" borderId="8" xfId="0" applyFont="1" applyFill="1" applyBorder="1" applyAlignment="1">
      <alignment horizontal="right"/>
    </xf>
    <xf numFmtId="0" fontId="0" fillId="4" borderId="13" xfId="0" applyFill="1" applyBorder="1"/>
    <xf numFmtId="0" fontId="0" fillId="4" borderId="10" xfId="0" applyFill="1" applyBorder="1"/>
    <xf numFmtId="0" fontId="2" fillId="2" borderId="2" xfId="0" applyFont="1" applyFill="1" applyBorder="1"/>
    <xf numFmtId="0" fontId="2" fillId="2" borderId="2" xfId="0" applyFont="1" applyFill="1" applyBorder="1" applyAlignment="1">
      <alignment horizontal="right"/>
    </xf>
    <xf numFmtId="0" fontId="2" fillId="2" borderId="0" xfId="0" applyFont="1" applyFill="1" applyAlignment="1">
      <alignment horizontal="left"/>
    </xf>
    <xf numFmtId="165" fontId="1" fillId="4" borderId="1" xfId="0" applyNumberFormat="1" applyFont="1" applyFill="1" applyBorder="1"/>
    <xf numFmtId="165" fontId="0" fillId="4" borderId="1" xfId="0" applyNumberFormat="1" applyFill="1" applyBorder="1" applyAlignment="1">
      <alignment horizontal="right"/>
    </xf>
    <xf numFmtId="164" fontId="0" fillId="0" borderId="1" xfId="0" applyNumberFormat="1" applyBorder="1" applyAlignment="1">
      <alignment horizontal="right"/>
    </xf>
    <xf numFmtId="0" fontId="0" fillId="2" borderId="1" xfId="0" applyFill="1" applyBorder="1"/>
    <xf numFmtId="0" fontId="7" fillId="5" borderId="0" xfId="0" applyFont="1" applyFill="1"/>
    <xf numFmtId="6" fontId="0" fillId="0" borderId="10" xfId="0" applyNumberFormat="1" applyBorder="1"/>
    <xf numFmtId="0" fontId="1" fillId="0" borderId="27" xfId="0" applyFont="1" applyBorder="1" applyAlignment="1">
      <alignment horizontal="center"/>
    </xf>
    <xf numFmtId="0" fontId="0" fillId="0" borderId="1" xfId="0" applyBorder="1" applyProtection="1">
      <protection locked="0"/>
    </xf>
    <xf numFmtId="165" fontId="0" fillId="0" borderId="1" xfId="0" applyNumberFormat="1" applyBorder="1" applyProtection="1">
      <protection locked="0"/>
    </xf>
    <xf numFmtId="164" fontId="0" fillId="4" borderId="1" xfId="0" applyNumberFormat="1" applyFill="1" applyBorder="1" applyProtection="1">
      <protection locked="0"/>
    </xf>
    <xf numFmtId="165" fontId="0" fillId="0" borderId="1" xfId="0" applyNumberFormat="1" applyBorder="1" applyAlignment="1" applyProtection="1">
      <alignment horizontal="right"/>
      <protection locked="0"/>
    </xf>
    <xf numFmtId="165" fontId="0" fillId="4" borderId="1" xfId="0" applyNumberFormat="1" applyFill="1" applyBorder="1" applyProtection="1">
      <protection locked="0"/>
    </xf>
    <xf numFmtId="165" fontId="0" fillId="0" borderId="8" xfId="0" applyNumberFormat="1" applyBorder="1" applyAlignment="1" applyProtection="1">
      <alignment horizontal="right"/>
      <protection locked="0"/>
    </xf>
    <xf numFmtId="0" fontId="0" fillId="4" borderId="1" xfId="0" applyFill="1" applyBorder="1" applyProtection="1">
      <protection locked="0"/>
    </xf>
    <xf numFmtId="0" fontId="0" fillId="4" borderId="1" xfId="0" applyFill="1" applyBorder="1" applyAlignment="1" applyProtection="1">
      <alignment horizontal="center"/>
      <protection locked="0"/>
    </xf>
    <xf numFmtId="0" fontId="1" fillId="4" borderId="22" xfId="0" applyFont="1" applyFill="1" applyBorder="1"/>
    <xf numFmtId="165" fontId="1" fillId="4" borderId="28" xfId="0" applyNumberFormat="1" applyFont="1" applyFill="1" applyBorder="1"/>
    <xf numFmtId="165" fontId="1" fillId="4" borderId="8" xfId="0" applyNumberFormat="1" applyFont="1" applyFill="1" applyBorder="1"/>
    <xf numFmtId="0" fontId="1" fillId="2" borderId="22" xfId="0" applyFont="1" applyFill="1" applyBorder="1"/>
    <xf numFmtId="0" fontId="1" fillId="2" borderId="28" xfId="0" applyFont="1" applyFill="1" applyBorder="1"/>
    <xf numFmtId="0" fontId="1" fillId="4" borderId="8" xfId="0" applyFont="1" applyFill="1" applyBorder="1"/>
    <xf numFmtId="165" fontId="1" fillId="2" borderId="22" xfId="0" applyNumberFormat="1" applyFont="1" applyFill="1" applyBorder="1"/>
    <xf numFmtId="0" fontId="0" fillId="0" borderId="8" xfId="0" applyBorder="1" applyProtection="1">
      <protection locked="0"/>
    </xf>
    <xf numFmtId="0" fontId="0" fillId="0" borderId="4" xfId="0" applyBorder="1" applyProtection="1">
      <protection locked="0"/>
    </xf>
    <xf numFmtId="165" fontId="0" fillId="4" borderId="7" xfId="0" applyNumberFormat="1" applyFill="1" applyBorder="1" applyProtection="1">
      <protection locked="0"/>
    </xf>
    <xf numFmtId="165" fontId="0" fillId="4" borderId="4" xfId="0" applyNumberFormat="1" applyFill="1" applyBorder="1" applyProtection="1">
      <protection locked="0"/>
    </xf>
    <xf numFmtId="0" fontId="0" fillId="0" borderId="7" xfId="0" applyBorder="1" applyProtection="1">
      <protection locked="0"/>
    </xf>
    <xf numFmtId="0" fontId="0" fillId="0" borderId="23" xfId="0" applyBorder="1" applyProtection="1">
      <protection locked="0"/>
    </xf>
    <xf numFmtId="0" fontId="0" fillId="0" borderId="29" xfId="0" applyBorder="1" applyProtection="1">
      <protection locked="0"/>
    </xf>
    <xf numFmtId="165" fontId="0" fillId="4" borderId="30" xfId="0" applyNumberFormat="1" applyFill="1" applyBorder="1" applyProtection="1">
      <protection locked="0"/>
    </xf>
    <xf numFmtId="165" fontId="0" fillId="4" borderId="23" xfId="0" applyNumberFormat="1" applyFill="1" applyBorder="1" applyProtection="1">
      <protection locked="0"/>
    </xf>
    <xf numFmtId="165" fontId="0" fillId="4" borderId="29" xfId="0" applyNumberFormat="1" applyFill="1" applyBorder="1" applyProtection="1">
      <protection locked="0"/>
    </xf>
    <xf numFmtId="0" fontId="0" fillId="0" borderId="30" xfId="0" applyBorder="1" applyProtection="1">
      <protection locked="0"/>
    </xf>
    <xf numFmtId="0" fontId="0" fillId="0" borderId="10" xfId="0" applyBorder="1" applyProtection="1">
      <protection locked="0"/>
    </xf>
    <xf numFmtId="2" fontId="0" fillId="0" borderId="1" xfId="0" applyNumberFormat="1" applyBorder="1" applyProtection="1">
      <protection locked="0"/>
    </xf>
    <xf numFmtId="2" fontId="0" fillId="0" borderId="23" xfId="0" applyNumberFormat="1" applyBorder="1" applyProtection="1">
      <protection locked="0"/>
    </xf>
    <xf numFmtId="0" fontId="0" fillId="0" borderId="1" xfId="0" applyBorder="1" applyAlignment="1" applyProtection="1">
      <alignment horizontal="right"/>
      <protection locked="0"/>
    </xf>
    <xf numFmtId="0" fontId="0" fillId="4" borderId="4" xfId="0" applyFill="1" applyBorder="1" applyAlignment="1" applyProtection="1">
      <alignment horizontal="right"/>
      <protection locked="0"/>
    </xf>
    <xf numFmtId="165" fontId="0" fillId="4" borderId="1" xfId="2" applyNumberFormat="1" applyFont="1" applyFill="1" applyBorder="1" applyAlignment="1" applyProtection="1">
      <alignment horizontal="left"/>
      <protection locked="0"/>
    </xf>
    <xf numFmtId="164" fontId="0" fillId="0" borderId="1" xfId="0" applyNumberFormat="1" applyBorder="1" applyProtection="1">
      <protection locked="0"/>
    </xf>
    <xf numFmtId="0" fontId="0" fillId="0" borderId="13" xfId="0" applyBorder="1" applyProtection="1">
      <protection locked="0"/>
    </xf>
    <xf numFmtId="9" fontId="0" fillId="0" borderId="8" xfId="1" applyFont="1" applyFill="1" applyBorder="1" applyAlignment="1" applyProtection="1">
      <alignment horizontal="right"/>
      <protection locked="0"/>
    </xf>
    <xf numFmtId="9" fontId="0" fillId="0" borderId="1" xfId="1" applyFont="1" applyFill="1" applyBorder="1" applyAlignment="1" applyProtection="1">
      <alignment horizontal="right"/>
      <protection locked="0"/>
    </xf>
    <xf numFmtId="9" fontId="0" fillId="0" borderId="1" xfId="1" applyFont="1" applyFill="1" applyBorder="1" applyProtection="1">
      <protection locked="0"/>
    </xf>
    <xf numFmtId="0" fontId="0" fillId="0" borderId="21" xfId="0" applyBorder="1" applyProtection="1">
      <protection locked="0"/>
    </xf>
    <xf numFmtId="165" fontId="0" fillId="0" borderId="5" xfId="0" applyNumberFormat="1" applyBorder="1" applyProtection="1">
      <protection locked="0"/>
    </xf>
    <xf numFmtId="9" fontId="0" fillId="0" borderId="5" xfId="1" applyFont="1" applyFill="1" applyBorder="1" applyProtection="1">
      <protection locked="0"/>
    </xf>
    <xf numFmtId="165" fontId="0" fillId="0" borderId="22" xfId="0" applyNumberFormat="1" applyBorder="1" applyProtection="1">
      <protection locked="0"/>
    </xf>
    <xf numFmtId="165" fontId="0" fillId="0" borderId="4" xfId="0" applyNumberFormat="1" applyBorder="1" applyProtection="1">
      <protection locked="0"/>
    </xf>
    <xf numFmtId="165" fontId="0" fillId="0" borderId="6" xfId="0" applyNumberFormat="1" applyBorder="1" applyProtection="1">
      <protection locked="0"/>
    </xf>
    <xf numFmtId="165" fontId="0" fillId="0" borderId="8" xfId="0" applyNumberFormat="1" applyBorder="1" applyProtection="1">
      <protection locked="0"/>
    </xf>
    <xf numFmtId="10" fontId="0" fillId="0" borderId="8" xfId="1" applyNumberFormat="1" applyFont="1" applyFill="1" applyBorder="1" applyProtection="1">
      <protection locked="0"/>
    </xf>
    <xf numFmtId="10" fontId="0" fillId="4" borderId="1" xfId="1" applyNumberFormat="1" applyFont="1" applyFill="1" applyBorder="1" applyProtection="1">
      <protection locked="0"/>
    </xf>
    <xf numFmtId="0" fontId="0" fillId="0" borderId="5" xfId="0" applyBorder="1" applyProtection="1">
      <protection locked="0"/>
    </xf>
    <xf numFmtId="165"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165" fontId="0" fillId="0" borderId="5" xfId="0" applyNumberFormat="1" applyBorder="1" applyAlignment="1" applyProtection="1">
      <alignment horizontal="center"/>
      <protection locked="0"/>
    </xf>
    <xf numFmtId="0" fontId="0" fillId="0" borderId="5" xfId="0" applyBorder="1" applyAlignment="1" applyProtection="1">
      <alignment horizontal="center"/>
      <protection locked="0"/>
    </xf>
    <xf numFmtId="10" fontId="0" fillId="0" borderId="1" xfId="1" applyNumberFormat="1" applyFont="1" applyFill="1" applyBorder="1" applyProtection="1">
      <protection locked="0"/>
    </xf>
    <xf numFmtId="5" fontId="0" fillId="0" borderId="1" xfId="0" applyNumberFormat="1" applyBorder="1" applyProtection="1">
      <protection locked="0"/>
    </xf>
    <xf numFmtId="5" fontId="0" fillId="4" borderId="4" xfId="0" applyNumberFormat="1" applyFill="1" applyBorder="1" applyAlignment="1" applyProtection="1">
      <alignment horizontal="right"/>
      <protection locked="0"/>
    </xf>
    <xf numFmtId="6" fontId="0" fillId="4" borderId="7" xfId="0" applyNumberFormat="1" applyFill="1" applyBorder="1" applyAlignment="1" applyProtection="1">
      <alignment horizontal="right"/>
      <protection locked="0"/>
    </xf>
    <xf numFmtId="5" fontId="0" fillId="4" borderId="1" xfId="0" applyNumberFormat="1" applyFill="1" applyBorder="1" applyProtection="1">
      <protection locked="0"/>
    </xf>
    <xf numFmtId="6" fontId="0" fillId="4" borderId="1" xfId="0" applyNumberFormat="1" applyFill="1" applyBorder="1" applyAlignment="1" applyProtection="1">
      <alignment horizontal="right"/>
      <protection locked="0"/>
    </xf>
    <xf numFmtId="166" fontId="0" fillId="4" borderId="1" xfId="0" applyNumberFormat="1" applyFill="1" applyBorder="1" applyAlignment="1" applyProtection="1">
      <alignment horizontal="right"/>
      <protection locked="0"/>
    </xf>
    <xf numFmtId="5" fontId="0" fillId="0" borderId="5" xfId="0" applyNumberFormat="1" applyBorder="1" applyProtection="1">
      <protection locked="0"/>
    </xf>
    <xf numFmtId="0" fontId="0" fillId="0" borderId="5" xfId="0" applyBorder="1" applyAlignment="1" applyProtection="1">
      <alignment horizontal="right"/>
      <protection locked="0"/>
    </xf>
    <xf numFmtId="5" fontId="0" fillId="4" borderId="6" xfId="0" applyNumberFormat="1" applyFill="1" applyBorder="1" applyAlignment="1" applyProtection="1">
      <alignment horizontal="right"/>
      <protection locked="0"/>
    </xf>
    <xf numFmtId="6" fontId="0" fillId="4" borderId="19" xfId="0" applyNumberFormat="1" applyFill="1" applyBorder="1" applyAlignment="1" applyProtection="1">
      <alignment horizontal="right"/>
      <protection locked="0"/>
    </xf>
    <xf numFmtId="5" fontId="0" fillId="4" borderId="5" xfId="0" applyNumberFormat="1" applyFill="1" applyBorder="1" applyProtection="1">
      <protection locked="0"/>
    </xf>
    <xf numFmtId="6" fontId="0" fillId="4" borderId="5" xfId="0" applyNumberFormat="1" applyFill="1" applyBorder="1" applyAlignment="1" applyProtection="1">
      <alignment horizontal="right"/>
      <protection locked="0"/>
    </xf>
    <xf numFmtId="166" fontId="0" fillId="4" borderId="5" xfId="0" applyNumberFormat="1" applyFill="1" applyBorder="1" applyAlignment="1" applyProtection="1">
      <alignment horizontal="right"/>
      <protection locked="0"/>
    </xf>
    <xf numFmtId="166" fontId="0" fillId="0" borderId="1" xfId="0" applyNumberFormat="1" applyBorder="1" applyAlignment="1" applyProtection="1">
      <alignment horizontal="center"/>
      <protection locked="0"/>
    </xf>
    <xf numFmtId="168" fontId="0" fillId="0" borderId="1" xfId="2" applyNumberFormat="1" applyFont="1" applyFill="1" applyBorder="1" applyProtection="1">
      <protection locked="0"/>
    </xf>
    <xf numFmtId="168" fontId="0" fillId="4" borderId="1" xfId="0" applyNumberFormat="1" applyFill="1" applyBorder="1" applyProtection="1">
      <protection locked="0"/>
    </xf>
    <xf numFmtId="42" fontId="0" fillId="0" borderId="1" xfId="0" applyNumberFormat="1" applyBorder="1" applyProtection="1">
      <protection locked="0"/>
    </xf>
    <xf numFmtId="168" fontId="0" fillId="0" borderId="5" xfId="2" applyNumberFormat="1" applyFont="1" applyFill="1" applyBorder="1" applyProtection="1">
      <protection locked="0"/>
    </xf>
    <xf numFmtId="168" fontId="0" fillId="4" borderId="5" xfId="0" applyNumberFormat="1" applyFill="1" applyBorder="1" applyProtection="1">
      <protection locked="0"/>
    </xf>
    <xf numFmtId="5" fontId="0" fillId="0" borderId="1" xfId="2" applyNumberFormat="1" applyFont="1" applyFill="1" applyBorder="1" applyProtection="1">
      <protection locked="0"/>
    </xf>
    <xf numFmtId="3" fontId="0" fillId="0" borderId="1" xfId="0" applyNumberFormat="1" applyBorder="1" applyProtection="1">
      <protection locked="0"/>
    </xf>
    <xf numFmtId="6" fontId="0" fillId="4" borderId="1" xfId="0" applyNumberFormat="1" applyFill="1" applyBorder="1" applyProtection="1">
      <protection locked="0"/>
    </xf>
    <xf numFmtId="169" fontId="0" fillId="0" borderId="1" xfId="0" applyNumberFormat="1" applyBorder="1" applyProtection="1">
      <protection locked="0"/>
    </xf>
    <xf numFmtId="0" fontId="0" fillId="0" borderId="6" xfId="0" applyBorder="1" applyProtection="1">
      <protection locked="0"/>
    </xf>
    <xf numFmtId="5" fontId="0" fillId="0" borderId="5" xfId="2" applyNumberFormat="1" applyFont="1" applyFill="1" applyBorder="1" applyProtection="1">
      <protection locked="0"/>
    </xf>
    <xf numFmtId="3" fontId="0" fillId="0" borderId="5" xfId="0" applyNumberFormat="1" applyBorder="1" applyProtection="1">
      <protection locked="0"/>
    </xf>
    <xf numFmtId="164" fontId="0" fillId="0" borderId="5" xfId="0" applyNumberFormat="1" applyBorder="1" applyProtection="1">
      <protection locked="0"/>
    </xf>
    <xf numFmtId="6" fontId="0" fillId="4" borderId="5" xfId="0" applyNumberFormat="1" applyFill="1" applyBorder="1" applyProtection="1">
      <protection locked="0"/>
    </xf>
    <xf numFmtId="165" fontId="0" fillId="4" borderId="5" xfId="0" applyNumberFormat="1" applyFill="1" applyBorder="1" applyProtection="1">
      <protection locked="0"/>
    </xf>
    <xf numFmtId="169" fontId="0" fillId="0" borderId="5" xfId="0" applyNumberFormat="1" applyBorder="1" applyProtection="1">
      <protection locked="0"/>
    </xf>
    <xf numFmtId="165" fontId="1" fillId="4" borderId="24" xfId="0" applyNumberFormat="1" applyFont="1" applyFill="1" applyBorder="1"/>
    <xf numFmtId="165" fontId="1" fillId="4" borderId="1" xfId="0" applyNumberFormat="1" applyFont="1" applyFill="1" applyBorder="1" applyAlignment="1">
      <alignment horizontal="right"/>
    </xf>
    <xf numFmtId="165" fontId="0" fillId="4" borderId="4" xfId="0" applyNumberFormat="1" applyFill="1" applyBorder="1"/>
    <xf numFmtId="165" fontId="0" fillId="4" borderId="6" xfId="0" applyNumberFormat="1" applyFill="1" applyBorder="1"/>
    <xf numFmtId="165" fontId="0" fillId="4" borderId="8" xfId="0" applyNumberFormat="1" applyFill="1" applyBorder="1" applyAlignment="1" applyProtection="1">
      <alignment horizontal="right"/>
      <protection locked="0"/>
    </xf>
    <xf numFmtId="165" fontId="0" fillId="4" borderId="1" xfId="0" applyNumberFormat="1" applyFill="1" applyBorder="1" applyAlignment="1" applyProtection="1">
      <alignment horizontal="right"/>
      <protection locked="0"/>
    </xf>
    <xf numFmtId="166" fontId="0" fillId="4" borderId="1" xfId="0" applyNumberFormat="1" applyFill="1" applyBorder="1" applyProtection="1">
      <protection locked="0"/>
    </xf>
    <xf numFmtId="166" fontId="0" fillId="4" borderId="23" xfId="0" applyNumberFormat="1" applyFill="1" applyBorder="1" applyProtection="1">
      <protection locked="0"/>
    </xf>
    <xf numFmtId="0" fontId="0" fillId="4" borderId="23" xfId="0" applyFill="1" applyBorder="1" applyProtection="1">
      <protection locked="0"/>
    </xf>
    <xf numFmtId="0" fontId="1" fillId="2" borderId="1" xfId="0" applyFont="1" applyFill="1" applyBorder="1" applyAlignment="1">
      <alignment horizontal="center" wrapText="1"/>
    </xf>
    <xf numFmtId="2" fontId="1" fillId="0" borderId="26" xfId="0" applyNumberFormat="1" applyFont="1" applyBorder="1" applyAlignment="1">
      <alignment horizontal="center"/>
    </xf>
    <xf numFmtId="0" fontId="1" fillId="2" borderId="6" xfId="0" applyFont="1" applyFill="1" applyBorder="1" applyAlignment="1">
      <alignment horizontal="center" wrapText="1"/>
    </xf>
    <xf numFmtId="170" fontId="0" fillId="4" borderId="6" xfId="0" applyNumberFormat="1" applyFill="1" applyBorder="1" applyAlignment="1" applyProtection="1">
      <alignment horizontal="right"/>
      <protection locked="0"/>
    </xf>
    <xf numFmtId="42" fontId="0" fillId="4" borderId="6" xfId="0" applyNumberFormat="1" applyFill="1" applyBorder="1" applyAlignment="1" applyProtection="1">
      <alignment horizontal="right"/>
      <protection locked="0"/>
    </xf>
    <xf numFmtId="165" fontId="0" fillId="7" borderId="1" xfId="0" applyNumberFormat="1" applyFill="1" applyBorder="1" applyAlignment="1">
      <alignment horizontal="right"/>
    </xf>
    <xf numFmtId="165" fontId="0" fillId="7" borderId="1" xfId="0" applyNumberFormat="1" applyFill="1" applyBorder="1"/>
    <xf numFmtId="8" fontId="0" fillId="7" borderId="23" xfId="0" applyNumberFormat="1" applyFill="1" applyBorder="1"/>
    <xf numFmtId="8" fontId="0" fillId="7" borderId="1" xfId="0" applyNumberFormat="1" applyFill="1" applyBorder="1"/>
    <xf numFmtId="164" fontId="0" fillId="7" borderId="10" xfId="0" applyNumberFormat="1" applyFill="1" applyBorder="1" applyAlignment="1">
      <alignment horizontal="right"/>
    </xf>
    <xf numFmtId="164" fontId="0" fillId="7" borderId="1" xfId="0" applyNumberFormat="1" applyFill="1" applyBorder="1"/>
    <xf numFmtId="6" fontId="0" fillId="7" borderId="1" xfId="0" applyNumberFormat="1" applyFill="1" applyBorder="1"/>
    <xf numFmtId="0" fontId="1" fillId="0" borderId="0" xfId="0" applyFont="1" applyAlignment="1">
      <alignment horizontal="right"/>
    </xf>
    <xf numFmtId="164" fontId="1" fillId="2" borderId="1" xfId="0" applyNumberFormat="1" applyFont="1" applyFill="1" applyBorder="1" applyAlignment="1">
      <alignment horizontal="right"/>
    </xf>
    <xf numFmtId="164" fontId="1" fillId="2" borderId="1" xfId="0" applyNumberFormat="1" applyFont="1" applyFill="1" applyBorder="1"/>
    <xf numFmtId="6" fontId="0" fillId="0" borderId="1" xfId="0" applyNumberFormat="1" applyBorder="1"/>
    <xf numFmtId="6" fontId="1" fillId="0" borderId="8" xfId="0" applyNumberFormat="1" applyFont="1" applyBorder="1"/>
    <xf numFmtId="8" fontId="1" fillId="7" borderId="8" xfId="0" applyNumberFormat="1" applyFont="1" applyFill="1" applyBorder="1"/>
    <xf numFmtId="6" fontId="1" fillId="7" borderId="8" xfId="0" applyNumberFormat="1" applyFont="1" applyFill="1" applyBorder="1"/>
    <xf numFmtId="6" fontId="0" fillId="0" borderId="23" xfId="0" applyNumberFormat="1" applyBorder="1"/>
    <xf numFmtId="6" fontId="0" fillId="7" borderId="23" xfId="0" applyNumberFormat="1" applyFill="1" applyBorder="1"/>
    <xf numFmtId="0" fontId="0" fillId="0" borderId="0" xfId="0" applyAlignment="1">
      <alignment vertical="top" wrapText="1"/>
    </xf>
    <xf numFmtId="0" fontId="0" fillId="0" borderId="0" xfId="0" applyAlignment="1">
      <alignment wrapText="1"/>
    </xf>
    <xf numFmtId="0" fontId="1" fillId="0" borderId="0" xfId="0" applyFont="1"/>
    <xf numFmtId="0" fontId="0" fillId="0" borderId="0" xfId="0"/>
    <xf numFmtId="0" fontId="4" fillId="3" borderId="14" xfId="0" applyFont="1" applyFill="1" applyBorder="1"/>
    <xf numFmtId="0" fontId="0" fillId="0" borderId="1" xfId="0" applyBorder="1"/>
    <xf numFmtId="0" fontId="1" fillId="2" borderId="1" xfId="0" applyFont="1" applyFill="1" applyBorder="1"/>
    <xf numFmtId="0" fontId="0" fillId="0" borderId="1" xfId="0" applyBorder="1" applyAlignment="1">
      <alignment vertical="top" wrapText="1"/>
    </xf>
    <xf numFmtId="0" fontId="0" fillId="0" borderId="23" xfId="0" applyBorder="1"/>
    <xf numFmtId="0" fontId="1" fillId="0" borderId="8" xfId="0" applyFont="1" applyBorder="1"/>
    <xf numFmtId="0" fontId="5" fillId="0" borderId="15" xfId="0" applyFont="1" applyBorder="1"/>
    <xf numFmtId="0" fontId="6" fillId="0" borderId="0" xfId="0" applyFont="1"/>
    <xf numFmtId="0" fontId="8" fillId="2" borderId="18" xfId="0" applyFont="1" applyFill="1" applyBorder="1"/>
    <xf numFmtId="0" fontId="1" fillId="4" borderId="4" xfId="0" applyFont="1" applyFill="1" applyBorder="1"/>
    <xf numFmtId="0" fontId="1" fillId="4" borderId="9" xfId="0" applyFont="1" applyFill="1" applyBorder="1"/>
    <xf numFmtId="0" fontId="1" fillId="4" borderId="22" xfId="0" applyFont="1" applyFill="1" applyBorder="1"/>
    <xf numFmtId="0" fontId="1" fillId="4" borderId="2" xfId="0" applyFont="1" applyFill="1" applyBorder="1"/>
    <xf numFmtId="0" fontId="1" fillId="4" borderId="13" xfId="0" applyFont="1" applyFill="1" applyBorder="1"/>
    <xf numFmtId="0" fontId="0" fillId="2" borderId="0" xfId="0" applyFill="1" applyAlignment="1">
      <alignment vertical="top" wrapText="1"/>
    </xf>
    <xf numFmtId="165" fontId="1" fillId="4" borderId="1" xfId="0" applyNumberFormat="1" applyFont="1" applyFill="1" applyBorder="1"/>
    <xf numFmtId="0" fontId="1" fillId="2" borderId="4" xfId="0" applyFont="1" applyFill="1" applyBorder="1"/>
    <xf numFmtId="0" fontId="1" fillId="2" borderId="9" xfId="0" applyFont="1" applyFill="1" applyBorder="1"/>
    <xf numFmtId="0" fontId="1" fillId="2" borderId="10" xfId="0" applyFont="1" applyFill="1" applyBorder="1"/>
    <xf numFmtId="0" fontId="1" fillId="4" borderId="10" xfId="0" applyFont="1" applyFill="1" applyBorder="1"/>
    <xf numFmtId="0" fontId="1" fillId="2" borderId="1" xfId="0" applyFont="1" applyFill="1" applyBorder="1" applyAlignment="1">
      <alignment horizontal="right"/>
    </xf>
    <xf numFmtId="0" fontId="2" fillId="2" borderId="1" xfId="0" applyFont="1" applyFill="1" applyBorder="1"/>
    <xf numFmtId="0" fontId="0" fillId="0" borderId="4"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29" xfId="0" applyBorder="1" applyProtection="1">
      <protection locked="0"/>
    </xf>
    <xf numFmtId="0" fontId="0" fillId="0" borderId="11" xfId="0" applyBorder="1" applyProtection="1">
      <protection locked="0"/>
    </xf>
    <xf numFmtId="0" fontId="0" fillId="0" borderId="25" xfId="0" applyBorder="1" applyProtection="1">
      <protection locked="0"/>
    </xf>
    <xf numFmtId="0" fontId="0" fillId="0" borderId="1" xfId="0" applyBorder="1" applyAlignment="1" applyProtection="1">
      <alignment vertical="top" wrapText="1"/>
      <protection locked="0"/>
    </xf>
    <xf numFmtId="0" fontId="0" fillId="0" borderId="1" xfId="0" applyBorder="1" applyProtection="1">
      <protection locked="0"/>
    </xf>
    <xf numFmtId="0" fontId="1" fillId="4" borderId="1" xfId="0" applyFont="1" applyFill="1" applyBorder="1"/>
    <xf numFmtId="165" fontId="0" fillId="0" borderId="1" xfId="0" applyNumberFormat="1" applyBorder="1" applyProtection="1">
      <protection locked="0"/>
    </xf>
    <xf numFmtId="0" fontId="1" fillId="2" borderId="16" xfId="0" applyFont="1" applyFill="1" applyBorder="1" applyAlignment="1">
      <alignment horizontal="center"/>
    </xf>
    <xf numFmtId="0" fontId="1" fillId="2" borderId="2" xfId="0" applyFont="1" applyFill="1" applyBorder="1" applyAlignment="1">
      <alignment horizontal="center"/>
    </xf>
    <xf numFmtId="0" fontId="1" fillId="2" borderId="2" xfId="0" applyFont="1" applyFill="1" applyBorder="1"/>
    <xf numFmtId="0" fontId="1" fillId="2" borderId="20" xfId="0" applyFont="1" applyFill="1" applyBorder="1"/>
    <xf numFmtId="0" fontId="1" fillId="0" borderId="2" xfId="0" applyFont="1" applyBorder="1" applyAlignment="1">
      <alignment horizontal="center"/>
    </xf>
    <xf numFmtId="0" fontId="1" fillId="2" borderId="0" xfId="0" applyFont="1" applyFill="1"/>
    <xf numFmtId="0" fontId="9" fillId="0" borderId="0" xfId="0" applyFont="1"/>
    <xf numFmtId="0" fontId="1" fillId="0" borderId="2" xfId="0" applyFont="1" applyBorder="1"/>
    <xf numFmtId="0" fontId="0" fillId="0" borderId="26" xfId="0" applyBorder="1"/>
    <xf numFmtId="0" fontId="1" fillId="0" borderId="10" xfId="0" applyFont="1" applyBorder="1" applyAlignment="1">
      <alignment horizontal="center"/>
    </xf>
    <xf numFmtId="0" fontId="1" fillId="0" borderId="1" xfId="0" applyFont="1" applyBorder="1" applyAlignment="1">
      <alignment horizontal="center"/>
    </xf>
    <xf numFmtId="6" fontId="0" fillId="0" borderId="13" xfId="0" applyNumberFormat="1" applyBorder="1"/>
    <xf numFmtId="164" fontId="1" fillId="0" borderId="30" xfId="0" applyNumberFormat="1" applyFont="1" applyBorder="1"/>
    <xf numFmtId="164" fontId="1" fillId="0" borderId="23" xfId="0" applyNumberFormat="1" applyFont="1" applyBorder="1"/>
  </cellXfs>
  <cellStyles count="3">
    <cellStyle name="Currency" xfId="2" builtinId="4"/>
    <cellStyle name="Normal" xfId="0" builtinId="0"/>
    <cellStyle name="Percent" xfId="1" builtinId="5"/>
  </cellStyles>
  <dxfs count="143">
    <dxf>
      <numFmt numFmtId="169" formatCode="0.00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9" formatCode="&quot;$&quot;#,##0_);\(&quot;$&quot;#,##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style="thin">
          <color indexed="64"/>
        </left>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protection locked="0" hidden="0"/>
    </dxf>
    <dxf>
      <font>
        <strike val="0"/>
        <outline val="0"/>
        <shadow val="0"/>
        <u val="none"/>
        <vertAlign val="baseline"/>
        <sz val="11"/>
        <color auto="1"/>
        <name val="Aptos Narrow"/>
        <family val="2"/>
        <scheme val="minor"/>
      </font>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8" formatCode="_(&quot;$&quot;* #,##0_);_(&quot;$&quot;* \(#,##0\);_(&quot;$&quot;* &quot;-&quot;??_);_(@_)"/>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168" formatCode="_(&quot;$&quot;* #,##0_);_(&quot;$&quot;* \(#,##0\);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numFmt numFmtId="166" formatCode="0.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strike val="0"/>
        <outline val="0"/>
        <shadow val="0"/>
        <u val="none"/>
        <vertAlign val="baseline"/>
        <sz val="11"/>
        <color auto="1"/>
        <name val="Aptos Narrow"/>
        <family val="2"/>
        <scheme val="minor"/>
      </font>
    </dxf>
    <dxf>
      <numFmt numFmtId="166" formatCode="0.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alignment horizontal="right" vertical="bottom" textRotation="0" wrapText="0" indent="0" justifyLastLine="0" shrinkToFit="0" readingOrder="0"/>
      <protection locked="0" hidden="0"/>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right" vertical="bottom" textRotation="0" wrapText="0" indent="0" justifyLastLine="0" shrinkToFit="0" readingOrder="0"/>
    </dxf>
    <dxf>
      <numFmt numFmtId="165" formatCode="&quot;$&quot;#,##0.00"/>
      <border diagonalUp="0" diagonalDown="0">
        <left style="thin">
          <color indexed="64"/>
        </left>
        <right/>
        <top style="thin">
          <color indexed="64"/>
        </top>
        <bottom style="thin">
          <color indexed="64"/>
        </bottom>
        <vertical/>
        <horizontal/>
      </border>
      <protection locked="0" hidden="0"/>
    </dxf>
    <dxf>
      <fill>
        <patternFill patternType="solid">
          <fgColor indexed="64"/>
          <bgColor theme="3" tint="0.89999084444715716"/>
        </patternFill>
      </fill>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strike val="0"/>
        <outline val="0"/>
        <shadow val="0"/>
        <u val="none"/>
        <vertAlign val="baseline"/>
        <sz val="11"/>
        <color auto="1"/>
        <name val="Aptos Narrow"/>
        <family val="2"/>
        <scheme val="minor"/>
      </font>
    </dxf>
  </dxfs>
  <tableStyles count="0" defaultTableStyle="TableStyleMedium2" defaultPivotStyle="PivotStyleLight16"/>
  <colors>
    <mruColors>
      <color rgb="FF003087"/>
      <color rgb="FFD87C38"/>
      <color rgb="FF5B89B4"/>
      <color rgb="FFFA4616"/>
      <color rgb="FFC5D3C0"/>
      <color rgb="FFCCECFF"/>
      <color rgb="FFA2A4A7"/>
      <color rgb="FFC4A780"/>
      <color rgb="FFFFEB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11</xdr:row>
      <xdr:rowOff>121920</xdr:rowOff>
    </xdr:from>
    <xdr:to>
      <xdr:col>2</xdr:col>
      <xdr:colOff>440055</xdr:colOff>
      <xdr:row>13</xdr:row>
      <xdr:rowOff>136779</xdr:rowOff>
    </xdr:to>
    <xdr:pic>
      <xdr:nvPicPr>
        <xdr:cNvPr id="2" name="Picture 1">
          <a:extLst>
            <a:ext uri="{FF2B5EF4-FFF2-40B4-BE49-F238E27FC236}">
              <a16:creationId xmlns:a16="http://schemas.microsoft.com/office/drawing/2014/main" id="{E21D15C3-F605-4C10-4C38-A9808AFAEC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 y="2202180"/>
          <a:ext cx="2537460" cy="380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BDF4E2-B1A9-4B8F-A0BD-1DACCEDFC42B}" name="LaborTable" displayName="LaborTable" ref="B3:E8" totalsRowShown="0" headerRowDxfId="142" dataDxfId="140" headerRowBorderDxfId="141" tableBorderDxfId="139">
  <autoFilter ref="B3:E8" xr:uid="{A3BDF4E2-B1A9-4B8F-A0BD-1DACCEDFC42B}">
    <filterColumn colId="0" hiddenButton="1"/>
    <filterColumn colId="1" hiddenButton="1"/>
    <filterColumn colId="2" hiddenButton="1"/>
    <filterColumn colId="3" hiddenButton="1"/>
  </autoFilter>
  <tableColumns count="4">
    <tableColumn id="1" xr3:uid="{9269906C-F404-4062-8F54-395DB17CF57C}" name="Labor Types" dataDxfId="138"/>
    <tableColumn id="2" xr3:uid="{CD4A96D0-0372-4CAE-A6F9-D02196AB82F4}" name="Hourly Wage" dataDxfId="137"/>
    <tableColumn id="3" xr3:uid="{282061D2-A8D2-4D5B-B4AB-F9A82A1E7DD4}" name="Payroll Overhead" dataDxfId="136" dataCellStyle="Percent"/>
    <tableColumn id="4" xr3:uid="{E1DA3CF3-F1F9-4803-ABBC-89B6DDCDD84C}" name="Cost per Hour" dataDxfId="135">
      <calculatedColumnFormula>IF(ISBLANK(C4),"",C4*(1+D4))</calculatedColumnFormula>
    </tableColumn>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ADB58A9-8E05-4772-8977-6415C9510C40}" name="OtherMaterialTable" displayName="OtherMaterialTable" ref="B142:H153" totalsRowShown="0" headerRowDxfId="62" dataDxfId="61" tableBorderDxfId="60">
  <autoFilter ref="B142:H153" xr:uid="{7ADB58A9-8E05-4772-8977-6415C9510C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DCA5669-3E02-4103-BB2F-3C5EE85909DF}" name="Other Materials" dataDxfId="59"/>
    <tableColumn id="2" xr3:uid="{533C1B31-69CA-47A1-B898-3C7ABE111681}" name="Type/Use" dataDxfId="58"/>
    <tableColumn id="3" xr3:uid="{D11BCEBA-A654-4C51-9446-482CA7A4C339}" name="Purchase Price" dataDxfId="57"/>
    <tableColumn id="4" xr3:uid="{5A74862F-7FE1-45A7-B9FD-4F363CA923A3}" name="Purchase Unit" dataDxfId="56"/>
    <tableColumn id="5" xr3:uid="{BDF0C81A-00D2-42BD-B4AF-96EF2477525C}" name="Application Unit" dataDxfId="55"/>
    <tableColumn id="6" xr3:uid="{74C323C3-3064-49B9-B0E6-43C8D0B4B0FD}" name="Application Units per Purchase Unit" dataDxfId="54"/>
    <tableColumn id="7" xr3:uid="{6AF59538-50C4-4D0B-8A67-F0CF4A91788B}" name="Cost per Application Unit" dataDxfId="53">
      <calculatedColumnFormula>IFERROR(D143/G143,"")</calculatedColumnFormula>
    </tableColumn>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E7C1E6-04C7-4182-ADCF-A4EF5EC0B3A1}" name="TractorTable" displayName="TractorTable" ref="B6:P23" totalsRowShown="0" headerRowDxfId="52" dataDxfId="51" tableBorderDxfId="50">
  <autoFilter ref="B6:P23" xr:uid="{BAE7C1E6-04C7-4182-ADCF-A4EF5EC0B3A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C46F6C7-4866-4572-8AAF-3BC6CC93CE40}" name="Machinery Description" dataDxfId="49"/>
    <tableColumn id="2" xr3:uid="{588EF1A2-815B-45DC-8090-AFE5C42146E4}" name="Machine Category" dataDxfId="48"/>
    <tableColumn id="3" xr3:uid="{A7746209-A0B8-48C8-980C-B8CA8049596D}" name="Fuel Type" dataDxfId="47"/>
    <tableColumn id="4" xr3:uid="{5A06742A-05E0-47C8-97D6-35A556887789}" name="Rated Horsepower" dataDxfId="46"/>
    <tableColumn id="5" xr3:uid="{4208FC1B-FBEF-4971-8D4B-E51FDB46EAF9}" name="2024 List Price" dataDxfId="45"/>
    <tableColumn id="6" xr3:uid="{C22D0082-5B20-4082-A87E-BF3D02F9D202}" name="Annual Hours" dataDxfId="44"/>
    <tableColumn id="7" xr3:uid="{46E6E209-F69F-489D-A483-5BA18C308060}" name="Use Life (years)" dataDxfId="43"/>
    <tableColumn id="8" xr3:uid="{139AC00D-24FD-41BF-A217-614EBB6306A3}" name="Salvage Value" dataDxfId="42">
      <calculatedColumnFormula>F7*(VLOOKUP(C7,MachineCoefficientTable,2,FALSE)-(VLOOKUP(C7,MachineCoefficientTable,3,FALSE)*(H7^0.5))-(VLOOKUP(C7,MachineCoefficientTable,4,FALSE)*(G7^0.5)))^2</calculatedColumnFormula>
    </tableColumn>
    <tableColumn id="9" xr3:uid="{2B0B8E2D-EFF3-4F85-B9DE-0FCDA7D27377}" name="Deprec + Interest or Lease" dataDxfId="41">
      <calculatedColumnFormula>IF(ISBLANK(B7),"",PMT(InterestRate_Machinery,H7,-F7,I7,1))</calculatedColumnFormula>
    </tableColumn>
    <tableColumn id="10" xr3:uid="{965B82E5-84CA-4746-9447-B53BEE2A20DA}" name="Tax Ins Hsg &amp; Subs" dataDxfId="40">
      <calculatedColumnFormula>F7*0.02</calculatedColumnFormula>
    </tableColumn>
    <tableColumn id="11" xr3:uid="{5BC28C24-C654-4F80-B376-77E38AB91E9A}" name="Total Ownership Cost" dataDxfId="39">
      <calculatedColumnFormula>J7+K7</calculatedColumnFormula>
    </tableColumn>
    <tableColumn id="12" xr3:uid="{FCCD53EA-2F8A-4037-AACC-4402F721CA84}" name="Repair &amp; Maintenance" dataDxfId="38">
      <calculatedColumnFormula>(VLOOKUP(C7,MachineCoefficientTable,5,FALSE)*F7*((G7*H7)/1000)^VLOOKUP(C7,MachineCoefficientTable,6,FALSE))/H7</calculatedColumnFormula>
    </tableColumn>
    <tableColumn id="13" xr3:uid="{19628C24-4402-42D6-9B63-84A398F75A70}" name="Ownership Allocation" dataDxfId="37">
      <calculatedColumnFormula>L7/G7</calculatedColumnFormula>
    </tableColumn>
    <tableColumn id="14" xr3:uid="{85B3E9BA-B82A-4997-84ED-5D7E40C62817}" name="R &amp; M Cost" dataDxfId="36">
      <calculatedColumnFormula>M7/G7</calculatedColumnFormula>
    </tableColumn>
    <tableColumn id="15" xr3:uid="{A021AAB7-82AA-4FE9-A84A-DE7003468162}" name="Fuel Gallons" dataDxfId="35">
      <calculatedColumnFormula>0.0438*E7*1.15</calculatedColumnFormula>
    </tableColumn>
  </tableColumns>
  <tableStyleInfo name="TableStyleMedium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42F697-6CFF-4C24-9B38-755A0B496E9C}" name="ImplementTable" displayName="ImplementTable" ref="B26:O105" totalsRowShown="0" headerRowDxfId="34" dataDxfId="33" tableBorderDxfId="32">
  <autoFilter ref="B26:O105" xr:uid="{CA42F697-6CFF-4C24-9B38-755A0B496E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1ECE5ED9-161E-43F5-9F3F-B1FCD2B4FC0C}" name="Machinery Description" dataDxfId="31"/>
    <tableColumn id="2" xr3:uid="{E2DEEA60-E47C-472A-93AF-18C025FA9851}" name="Machine Category" dataDxfId="30"/>
    <tableColumn id="3" xr3:uid="{956339D7-79C5-4EA5-87B1-3D2846CBCEBA}" name="Coverage Width (feet)" dataDxfId="29"/>
    <tableColumn id="4" xr3:uid="{995DC151-E872-47F2-B8B4-7EFC39BF571C}" name="Operating Speed (mph)" dataDxfId="28"/>
    <tableColumn id="5" xr3:uid="{273D357D-1D7C-4B81-9547-1161BAFDBAEB}" name="2024 List Price" dataDxfId="27" dataCellStyle="Currency"/>
    <tableColumn id="6" xr3:uid="{DDDE7E46-B0D5-4FB8-8C14-313EE7A7D779}" name="Annual Hours" dataDxfId="26"/>
    <tableColumn id="7" xr3:uid="{A7F44D17-1A6C-4B6D-A319-D9FAFC35EB3F}" name="Use Life (years)" dataDxfId="25"/>
    <tableColumn id="8" xr3:uid="{5D137038-EB28-4275-98DA-374742B32AED}" name="Salvage Value" dataDxfId="24">
      <calculatedColumnFormula>F27*(VLOOKUP(C27,MachineCoefficientTable,2,FALSE)-(VLOOKUP(C27,MachineCoefficientTable,3,FALSE)*(H27^0.5))-(VLOOKUP(C27,MachineCoefficientTable,4,FALSE)*(G27^0.5)))^2</calculatedColumnFormula>
    </tableColumn>
    <tableColumn id="9" xr3:uid="{FC976304-5845-4E25-8693-651807921EAB}" name="Deprec + Interest or Lease" dataDxfId="23">
      <calculatedColumnFormula>IF(ISBLANK(B27),"",PMT(InterestRate_Machinery,H27,-F27,I27,1))</calculatedColumnFormula>
    </tableColumn>
    <tableColumn id="10" xr3:uid="{6CA4E4F3-4032-412C-B842-3B58DA545D21}" name="Tax Ins Hsg" dataDxfId="22">
      <calculatedColumnFormula>F27*0.02</calculatedColumnFormula>
    </tableColumn>
    <tableColumn id="11" xr3:uid="{F56D3F9D-DB5F-4626-B3D3-6A598A9F34D9}" name="Total Ownership Cost" dataDxfId="21">
      <calculatedColumnFormula>J27+K27</calculatedColumnFormula>
    </tableColumn>
    <tableColumn id="12" xr3:uid="{BED20FC9-80C1-4E2C-9507-A0483411EA68}" name="Repair &amp; Maintenance" dataDxfId="20">
      <calculatedColumnFormula>(VLOOKUP(C27,MachineCoefficientTable,5,FALSE)*F27*((G27*H27)/1000)^VLOOKUP(C27,MachineCoefficientTable,6,FALSE))/H27</calculatedColumnFormula>
    </tableColumn>
    <tableColumn id="13" xr3:uid="{31FEEF6D-4B0A-4BDB-BBB0-5D89288097EF}" name="Ownership Allocation" dataDxfId="19">
      <calculatedColumnFormula>L27/G27</calculatedColumnFormula>
    </tableColumn>
    <tableColumn id="14" xr3:uid="{21B14B4F-7701-4216-B4D1-00D51300F9BD}" name="R &amp; M Cost" dataDxfId="18">
      <calculatedColumnFormula>M27/G27</calculatedColumnFormula>
    </tableColumn>
  </tableColumns>
  <tableStyleInfo name="TableStyleMedium2"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455D43-E67F-4282-96AC-0DAD5BEFE8DE}" name="VehicleTable" displayName="VehicleTable" ref="B108:P113" totalsRowShown="0" headerRowDxfId="17" dataDxfId="16" tableBorderDxfId="15">
  <autoFilter ref="B108:P113" xr:uid="{0C455D43-E67F-4282-96AC-0DAD5BEFE8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3A287BEA-5706-45E2-AE0D-57CB79BB25C2}" name="Vehicle Description" dataDxfId="14"/>
    <tableColumn id="2" xr3:uid="{CA6B70ED-F3D4-4DBC-87A1-6D364D3DEF18}" name="Size/Capacity" dataDxfId="13"/>
    <tableColumn id="3" xr3:uid="{4081FE98-B523-4177-9ED7-D3DC15B34237}" name="Fuel Type" dataDxfId="12"/>
    <tableColumn id="4" xr3:uid="{AF414AB2-97A3-45AE-A2BB-DAE449EF5095}" name="Horsepower" dataDxfId="11"/>
    <tableColumn id="5" xr3:uid="{24A7AB98-894B-4AFE-AB27-A8235192F50C}" name="2024 List Price" dataDxfId="10" dataCellStyle="Currency"/>
    <tableColumn id="6" xr3:uid="{A0CA2632-9302-474A-80CF-A40C486C6051}" name="Annual Miles" dataDxfId="9"/>
    <tableColumn id="7" xr3:uid="{C783BCD5-7598-43F3-B937-94500EFC974D}" name="Use Life (years)" dataDxfId="8"/>
    <tableColumn id="8" xr3:uid="{651BD4AA-6184-4A99-A4E2-6F9CD1085CCE}" name="Salvage Value" dataDxfId="7"/>
    <tableColumn id="9" xr3:uid="{E3B4441D-9133-42D2-A628-30DA1FA181E6}" name="Deprec + Interest or Lease" dataDxfId="6">
      <calculatedColumnFormula>IF(ISBLANK(B109),"",PMT(InterestRate_Machinery,H109,-F109,I109,1))</calculatedColumnFormula>
    </tableColumn>
    <tableColumn id="10" xr3:uid="{9202731F-FB12-4BC0-8B2A-0389F33B1B34}" name="Tax &amp; Insurance" dataDxfId="5"/>
    <tableColumn id="11" xr3:uid="{0AC0B583-352C-4AA9-8351-7C9F6B579E90}" name="Total Ownership Cost" dataDxfId="4">
      <calculatedColumnFormula>IF(ISBLANK(B109),"",J109+K109)</calculatedColumnFormula>
    </tableColumn>
    <tableColumn id="12" xr3:uid="{45773365-46A1-4028-9AE2-7B43C640A941}" name="Repair &amp; Maintenance" dataDxfId="3"/>
    <tableColumn id="13" xr3:uid="{5AE7735D-3599-46F8-BFFC-950A4FBAEF0F}" name="Ownership Allocation" dataDxfId="2">
      <calculatedColumnFormula>IF(ISBLANK(B109),"",L109/G109)</calculatedColumnFormula>
    </tableColumn>
    <tableColumn id="14" xr3:uid="{3EED3320-82A3-4692-A1DB-280C117E766C}" name="R &amp; M Cost" dataDxfId="1">
      <calculatedColumnFormula>IF(ISBLANK(B109),"",M109/G109)</calculatedColumnFormula>
    </tableColumn>
    <tableColumn id="15" xr3:uid="{465CD398-F9DA-49CC-AACB-FDC67C2C56B2}" name="Fuel Gallons" dataDxfId="0"/>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D9405D3-D2A6-4201-940D-DD404A44644C}" name="FuelTable" displayName="FuelTable" ref="B10:C15" totalsRowShown="0" headerRowDxfId="134" headerRowBorderDxfId="133" tableBorderDxfId="132">
  <autoFilter ref="B10:C15" xr:uid="{CD9405D3-D2A6-4201-940D-DD404A44644C}">
    <filterColumn colId="0" hiddenButton="1"/>
    <filterColumn colId="1" hiddenButton="1"/>
  </autoFilter>
  <tableColumns count="2">
    <tableColumn id="1" xr3:uid="{E0C390F2-1371-4D9F-A147-B96AD8D0C4FB}" name="Fuel Types" dataDxfId="131"/>
    <tableColumn id="2" xr3:uid="{DCAA13CE-3051-40F9-ABA3-5816782B24A8}" name="Cost ($/gal)" dataDxfId="130"/>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6BD17C7-0860-46E6-9304-FFFB02C0705B}" name="CustomServiceTable" displayName="CustomServiceTable" ref="B26:E44" totalsRowShown="0" headerRowDxfId="129" dataDxfId="128" tableBorderDxfId="127">
  <autoFilter ref="B26:E44" xr:uid="{E6BD17C7-0860-46E6-9304-FFFB02C0705B}">
    <filterColumn colId="0" hiddenButton="1"/>
    <filterColumn colId="1" hiddenButton="1"/>
    <filterColumn colId="2" hiddenButton="1"/>
    <filterColumn colId="3" hiddenButton="1"/>
  </autoFilter>
  <tableColumns count="4">
    <tableColumn id="1" xr3:uid="{151D5457-B2A2-4A17-A748-9C3B0C34D8A3}" name="Custom Services" dataDxfId="126"/>
    <tableColumn id="2" xr3:uid="{C6AED1D5-42FC-480B-992D-CD8FD78058E5}" name="Type or Specs" dataDxfId="125"/>
    <tableColumn id="3" xr3:uid="{22137B8C-1D80-4BE4-BCDB-01AE99E2D7BA}" name="Unit" dataDxfId="124"/>
    <tableColumn id="4" xr3:uid="{41CFCDEE-3674-4894-A23D-6380916376F7}" name="Cost per Unit" dataDxfId="123"/>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90A2AA7-52B3-4591-BABE-17C48BA9ACDD}" name="SeedTable" displayName="SeedTable" ref="B3:H16" totalsRowShown="0" headerRowDxfId="122" dataDxfId="121" tableBorderDxfId="120">
  <autoFilter ref="B3:H16" xr:uid="{690A2AA7-52B3-4591-BABE-17C48BA9ACD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3E0DFDF-296D-4B7D-A066-81496F84B62F}" name="Seed Varieties" dataDxfId="119"/>
    <tableColumn id="2" xr3:uid="{A2458982-E6C7-4859-A186-5468BDCD31CD}" name="Type/Coating" dataDxfId="118"/>
    <tableColumn id="3" xr3:uid="{460DACC1-7F2E-49DE-9C90-33316399BD76}" name="Purchase Price" dataDxfId="117"/>
    <tableColumn id="4" xr3:uid="{2D52C83F-2F3B-4AF1-B556-97EB2D109874}" name="Purchase Unit" dataDxfId="116"/>
    <tableColumn id="5" xr3:uid="{031C6293-439C-4DBF-A627-9250818CEEA2}" name="Application Unit" dataDxfId="115"/>
    <tableColumn id="6" xr3:uid="{CB4C021D-F1BC-4603-85BF-8AEB3F917441}" name="Application Units per Purchase Unit" dataDxfId="114"/>
    <tableColumn id="7" xr3:uid="{553AE7F5-2F8F-4108-B2A6-C7252F67A8A7}" name="Cost per Application Unit" dataDxfId="113">
      <calculatedColumnFormula>IFERROR(D4/G4,"")</calculatedColumnFormula>
    </tableColumn>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D62DED5-2954-4620-9E80-845FB73508A7}" name="FertilizerTable" displayName="FertilizerTable" ref="B18:H58" totalsRowShown="0" headerRowDxfId="112" dataDxfId="111" tableBorderDxfId="110">
  <autoFilter ref="B18:H58" xr:uid="{1D62DED5-2954-4620-9E80-845FB73508A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6B644D9-E6BD-45DE-B221-AD34F3BF817B}" name="Fertilizers &amp; Lime" dataDxfId="109"/>
    <tableColumn id="2" xr3:uid="{4CC63769-4327-47F1-879C-47FE985F308C}" name="Type" dataDxfId="108"/>
    <tableColumn id="3" xr3:uid="{68F7F0F8-1964-4CB8-9136-C86D69D843A2}" name="Purchase Price" dataDxfId="107"/>
    <tableColumn id="4" xr3:uid="{D94C68D7-C8A2-49F7-B169-AAD15CF6479F}" name="Purchase Unit" dataDxfId="106"/>
    <tableColumn id="5" xr3:uid="{778357D6-79A6-4A2A-B775-2A04808806EE}" name="Application Unit" dataDxfId="105"/>
    <tableColumn id="6" xr3:uid="{50150413-4A0A-47D9-B4BB-175C88E2F65C}" name="Application Units per Purchase Unit" dataDxfId="104"/>
    <tableColumn id="7" xr3:uid="{A30ED22C-ABCF-47A7-9F46-0C187A1EAF23}" name="Cost per Application Unit" dataDxfId="103">
      <calculatedColumnFormula>IFERROR(D19/G19,"")</calculatedColumnFormula>
    </tableColumn>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17E0210-FE0B-4FA1-B5A4-374DB47AC156}" name="FungicideTable" displayName="FungicideTable" ref="B60:H92" totalsRowShown="0" headerRowDxfId="102" dataDxfId="101" tableBorderDxfId="100">
  <autoFilter ref="B60:H92" xr:uid="{017E0210-FE0B-4FA1-B5A4-374DB47AC15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A23B893-25BF-47C0-92A0-FD7864810813}" name="Fungicide Product Names" dataDxfId="99"/>
    <tableColumn id="2" xr3:uid="{76FEB9A4-DB3C-4480-BDE3-448228E61467}" name="Active Ingredients" dataDxfId="98"/>
    <tableColumn id="3" xr3:uid="{395FEEF8-CE83-4D81-AF6C-592A8039B8E8}" name="Purchase Price" dataDxfId="97"/>
    <tableColumn id="4" xr3:uid="{35EEDDA1-51EC-4E0B-B375-5F5590EC4C3B}" name="Purchase Unit" dataDxfId="96"/>
    <tableColumn id="5" xr3:uid="{BEE7715F-849D-4A5B-9EB6-1E434E3894A6}" name="Application Unit" dataDxfId="95"/>
    <tableColumn id="6" xr3:uid="{C508B882-4699-4597-86EB-707B6ADA9F4A}" name="Application Units per Purchase Unit" dataDxfId="94"/>
    <tableColumn id="7" xr3:uid="{98F81809-C545-4A9B-A114-9E04920BC76A}" name="Cost per Application Unit" dataDxfId="93">
      <calculatedColumnFormula>IFERROR(D61/G61,"")</calculatedColumnFormula>
    </tableColumn>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8153573-E9D0-4B89-8250-E2BB6681861B}" name="HerbicideTable" displayName="HerbicideTable" ref="B94:H109" totalsRowShown="0" headerRowDxfId="92" dataDxfId="91" tableBorderDxfId="90">
  <autoFilter ref="B94:H109" xr:uid="{18153573-E9D0-4B89-8250-E2BB6681861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5E2982B-8DA7-4A40-BB05-B5CA0C84593D}" name="Herbicide Product Names" dataDxfId="89"/>
    <tableColumn id="2" xr3:uid="{314AE101-74AC-4157-8885-E904FB192F4E}" name="Active Ingredients" dataDxfId="88"/>
    <tableColumn id="3" xr3:uid="{8F8E1C05-3268-4206-A8B0-1623E4F3022E}" name="Purchase Price" dataDxfId="87"/>
    <tableColumn id="4" xr3:uid="{E8865F87-4CA3-48C8-BFC3-21543C120614}" name="Purchase Unit" dataDxfId="86"/>
    <tableColumn id="5" xr3:uid="{93B3173E-C2EF-4A96-8D8C-FF9100110E29}" name="Application Unit" dataDxfId="85"/>
    <tableColumn id="6" xr3:uid="{7AED3D12-8C5E-4D1E-9005-084372CAA1E7}" name="Application Units per Purchase Unit" dataDxfId="84"/>
    <tableColumn id="7" xr3:uid="{8B34F4C3-5FE0-431D-9655-90AEE2146BF5}" name="Cost per Application Unit" dataDxfId="83">
      <calculatedColumnFormula>IFERROR(D95/G95,"")</calculatedColumnFormula>
    </tableColumn>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4A3918-BF4F-495D-8282-93F8B9AEA836}" name="InsecticideTable" displayName="InsecticideTable" ref="B111:H132" totalsRowShown="0" headerRowDxfId="82" dataDxfId="81" tableBorderDxfId="80">
  <autoFilter ref="B111:H132" xr:uid="{C94A3918-BF4F-495D-8282-93F8B9AEA83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0ADD6BD-C622-4A6B-9B20-9B285FE207F0}" name="Insecticide Product Names" dataDxfId="79"/>
    <tableColumn id="2" xr3:uid="{EECD6A5D-5C30-41CA-907D-3F4C4E505812}" name="Active Ingredients" dataDxfId="78"/>
    <tableColumn id="3" xr3:uid="{E0442636-BC47-4503-8AF4-8E04C15708FF}" name="Purchase Price" dataDxfId="77"/>
    <tableColumn id="4" xr3:uid="{2867637F-F2B7-4D1D-BCFC-6E223771E0EE}" name="Purchase Unit" dataDxfId="76"/>
    <tableColumn id="5" xr3:uid="{DEB0051F-FD06-4FBB-8174-F9E6A915A475}" name="Application Unit" dataDxfId="75"/>
    <tableColumn id="6" xr3:uid="{6ABA41EB-457D-46D2-83E8-33FAB4901F05}" name="Application Units per Purchase Unit" dataDxfId="74"/>
    <tableColumn id="7" xr3:uid="{7F17CD5F-236E-41D5-926E-1140B29F87F9}" name="Cost per Application Unit" dataDxfId="73">
      <calculatedColumnFormula>IFERROR(D112/G112,"")</calculatedColumnFormula>
    </tableColumn>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6920534-8AF9-4592-A7F3-5165EDC14EB2}" name="NematicideTable" displayName="NematicideTable" ref="B134:H140" totalsRowShown="0" headerRowDxfId="72" dataDxfId="71" tableBorderDxfId="70">
  <autoFilter ref="B134:H140" xr:uid="{C6920534-8AF9-4592-A7F3-5165EDC14EB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6215B7D-E6F0-4FE4-AB75-90A799DD4AAB}" name="Nematicide Product Names" dataDxfId="69"/>
    <tableColumn id="2" xr3:uid="{D0F5E88E-4A9D-4667-A3F4-B2154FAE7B10}" name="Active Ingredients" dataDxfId="68"/>
    <tableColumn id="3" xr3:uid="{B93B8871-46B0-496A-A357-2216B3877BEC}" name="Purchase Price" dataDxfId="67"/>
    <tableColumn id="4" xr3:uid="{23CA4F32-1C34-4340-BF58-9CB517E44395}" name="Purchase Unit" dataDxfId="66"/>
    <tableColumn id="5" xr3:uid="{994DBE83-49F4-4EFD-9D25-93F76101FF97}" name="Application Unit" dataDxfId="65"/>
    <tableColumn id="6" xr3:uid="{654AEF47-DC9E-45E3-9E75-143CD2FC3AC5}" name="Application Units per Purchase Unit" dataDxfId="64"/>
    <tableColumn id="7" xr3:uid="{31AE737E-8C27-4DD4-B915-9AC27C3FAABE}" name="Cost per Application Unit" dataDxfId="63">
      <calculatedColumnFormula>IFERROR(D135/G135,"")</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3.bin"/><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2E73A-97E8-420C-A2CA-59310D75E404}">
  <dimension ref="B1:D53"/>
  <sheetViews>
    <sheetView showGridLines="0" workbookViewId="0"/>
  </sheetViews>
  <sheetFormatPr defaultRowHeight="14.4" x14ac:dyDescent="0.3"/>
  <cols>
    <col min="1" max="1" width="4.6640625" customWidth="1"/>
    <col min="2" max="4" width="30.6640625" customWidth="1"/>
  </cols>
  <sheetData>
    <row r="1" spans="2:4" x14ac:dyDescent="0.3">
      <c r="B1" s="199"/>
      <c r="C1" s="199"/>
      <c r="D1" s="199"/>
    </row>
    <row r="2" spans="2:4" ht="18.600000000000001" thickBot="1" x14ac:dyDescent="0.4">
      <c r="B2" s="200" t="s">
        <v>0</v>
      </c>
      <c r="C2" s="200"/>
      <c r="D2" s="200"/>
    </row>
    <row r="3" spans="2:4" ht="15" thickTop="1" x14ac:dyDescent="0.3">
      <c r="B3" t="s">
        <v>643</v>
      </c>
    </row>
    <row r="5" spans="2:4" x14ac:dyDescent="0.3">
      <c r="B5" s="3" t="s">
        <v>1</v>
      </c>
    </row>
    <row r="6" spans="2:4" x14ac:dyDescent="0.3">
      <c r="B6" s="196" t="s">
        <v>2</v>
      </c>
      <c r="C6" s="196"/>
      <c r="D6" s="196"/>
    </row>
    <row r="7" spans="2:4" x14ac:dyDescent="0.3">
      <c r="B7" s="196"/>
      <c r="C7" s="196"/>
      <c r="D7" s="196"/>
    </row>
    <row r="9" spans="2:4" x14ac:dyDescent="0.3">
      <c r="B9" s="3" t="s">
        <v>3</v>
      </c>
    </row>
    <row r="10" spans="2:4" x14ac:dyDescent="0.3">
      <c r="B10" s="199" t="s">
        <v>4</v>
      </c>
      <c r="C10" s="199"/>
      <c r="D10" s="199"/>
    </row>
    <row r="11" spans="2:4" x14ac:dyDescent="0.3">
      <c r="B11" s="199" t="s">
        <v>5</v>
      </c>
      <c r="C11" s="199"/>
      <c r="D11" s="199"/>
    </row>
    <row r="16" spans="2:4" x14ac:dyDescent="0.3">
      <c r="B16" s="3" t="s">
        <v>6</v>
      </c>
    </row>
    <row r="17" spans="2:4" x14ac:dyDescent="0.3">
      <c r="B17" s="196" t="s">
        <v>7</v>
      </c>
      <c r="C17" s="196"/>
      <c r="D17" s="196"/>
    </row>
    <row r="18" spans="2:4" x14ac:dyDescent="0.3">
      <c r="B18" s="196"/>
      <c r="C18" s="196"/>
      <c r="D18" s="196"/>
    </row>
    <row r="19" spans="2:4" x14ac:dyDescent="0.3">
      <c r="B19" s="196"/>
      <c r="C19" s="196"/>
      <c r="D19" s="196"/>
    </row>
    <row r="20" spans="2:4" x14ac:dyDescent="0.3">
      <c r="B20" s="196"/>
      <c r="C20" s="196"/>
      <c r="D20" s="196"/>
    </row>
    <row r="22" spans="2:4" x14ac:dyDescent="0.3">
      <c r="B22" s="3" t="s">
        <v>8</v>
      </c>
    </row>
    <row r="23" spans="2:4" ht="14.4" customHeight="1" x14ac:dyDescent="0.3">
      <c r="B23" s="196" t="s">
        <v>9</v>
      </c>
      <c r="C23" s="196"/>
      <c r="D23" s="196"/>
    </row>
    <row r="24" spans="2:4" x14ac:dyDescent="0.3">
      <c r="B24" s="196"/>
      <c r="C24" s="196"/>
      <c r="D24" s="196"/>
    </row>
    <row r="25" spans="2:4" x14ac:dyDescent="0.3">
      <c r="B25" s="198" t="s">
        <v>10</v>
      </c>
      <c r="C25" s="198"/>
      <c r="D25" s="198"/>
    </row>
    <row r="26" spans="2:4" x14ac:dyDescent="0.3">
      <c r="B26" s="197" t="s">
        <v>11</v>
      </c>
      <c r="C26" s="197"/>
      <c r="D26" s="197"/>
    </row>
    <row r="27" spans="2:4" x14ac:dyDescent="0.3">
      <c r="B27" s="197"/>
      <c r="C27" s="197"/>
      <c r="D27" s="197"/>
    </row>
    <row r="28" spans="2:4" x14ac:dyDescent="0.3">
      <c r="B28" s="198" t="s">
        <v>12</v>
      </c>
      <c r="C28" s="198"/>
      <c r="D28" s="198"/>
    </row>
    <row r="29" spans="2:4" x14ac:dyDescent="0.3">
      <c r="B29" s="196" t="s">
        <v>13</v>
      </c>
      <c r="C29" s="196"/>
      <c r="D29" s="196"/>
    </row>
    <row r="30" spans="2:4" x14ac:dyDescent="0.3">
      <c r="B30" s="196"/>
      <c r="C30" s="196"/>
      <c r="D30" s="196"/>
    </row>
    <row r="31" spans="2:4" x14ac:dyDescent="0.3">
      <c r="B31" s="196"/>
      <c r="C31" s="196"/>
      <c r="D31" s="196"/>
    </row>
    <row r="32" spans="2:4" x14ac:dyDescent="0.3">
      <c r="B32" s="196"/>
      <c r="C32" s="196"/>
      <c r="D32" s="196"/>
    </row>
    <row r="33" spans="2:4" x14ac:dyDescent="0.3">
      <c r="B33" s="196"/>
      <c r="C33" s="196"/>
      <c r="D33" s="196"/>
    </row>
    <row r="34" spans="2:4" x14ac:dyDescent="0.3">
      <c r="B34" s="196"/>
      <c r="C34" s="196"/>
      <c r="D34" s="196"/>
    </row>
    <row r="35" spans="2:4" x14ac:dyDescent="0.3">
      <c r="B35" s="196"/>
      <c r="C35" s="196"/>
      <c r="D35" s="196"/>
    </row>
    <row r="36" spans="2:4" x14ac:dyDescent="0.3">
      <c r="B36" s="3" t="s">
        <v>14</v>
      </c>
    </row>
    <row r="37" spans="2:4" x14ac:dyDescent="0.3">
      <c r="B37" s="196" t="s">
        <v>15</v>
      </c>
      <c r="C37" s="196"/>
      <c r="D37" s="196"/>
    </row>
    <row r="38" spans="2:4" x14ac:dyDescent="0.3">
      <c r="B38" s="196"/>
      <c r="C38" s="196"/>
      <c r="D38" s="196"/>
    </row>
    <row r="39" spans="2:4" x14ac:dyDescent="0.3">
      <c r="B39" s="196"/>
      <c r="C39" s="196"/>
      <c r="D39" s="196"/>
    </row>
    <row r="40" spans="2:4" x14ac:dyDescent="0.3">
      <c r="B40" s="196"/>
      <c r="C40" s="196"/>
      <c r="D40" s="196"/>
    </row>
    <row r="41" spans="2:4" x14ac:dyDescent="0.3">
      <c r="B41" s="196"/>
      <c r="C41" s="196"/>
      <c r="D41" s="196"/>
    </row>
    <row r="42" spans="2:4" x14ac:dyDescent="0.3">
      <c r="B42" s="196"/>
      <c r="C42" s="196"/>
      <c r="D42" s="196"/>
    </row>
    <row r="43" spans="2:4" x14ac:dyDescent="0.3">
      <c r="B43" s="196"/>
      <c r="C43" s="196"/>
      <c r="D43" s="196"/>
    </row>
    <row r="44" spans="2:4" x14ac:dyDescent="0.3">
      <c r="B44" s="196"/>
      <c r="C44" s="196"/>
      <c r="D44" s="196"/>
    </row>
    <row r="45" spans="2:4" x14ac:dyDescent="0.3">
      <c r="B45" s="196"/>
      <c r="C45" s="196"/>
      <c r="D45" s="196"/>
    </row>
    <row r="46" spans="2:4" x14ac:dyDescent="0.3">
      <c r="B46" s="196"/>
      <c r="C46" s="196"/>
      <c r="D46" s="196"/>
    </row>
    <row r="47" spans="2:4" x14ac:dyDescent="0.3">
      <c r="B47" s="196"/>
      <c r="C47" s="196"/>
      <c r="D47" s="196"/>
    </row>
    <row r="48" spans="2:4" x14ac:dyDescent="0.3">
      <c r="B48" s="196"/>
      <c r="C48" s="196"/>
      <c r="D48" s="196"/>
    </row>
    <row r="49" spans="2:4" x14ac:dyDescent="0.3">
      <c r="B49" s="196"/>
      <c r="C49" s="196"/>
      <c r="D49" s="196"/>
    </row>
    <row r="50" spans="2:4" x14ac:dyDescent="0.3">
      <c r="B50" s="196"/>
      <c r="C50" s="196"/>
      <c r="D50" s="196"/>
    </row>
    <row r="51" spans="2:4" x14ac:dyDescent="0.3">
      <c r="B51" s="3" t="s">
        <v>16</v>
      </c>
    </row>
    <row r="52" spans="2:4" x14ac:dyDescent="0.3">
      <c r="B52" s="196" t="s">
        <v>17</v>
      </c>
      <c r="C52" s="196"/>
      <c r="D52" s="196"/>
    </row>
    <row r="53" spans="2:4" x14ac:dyDescent="0.3">
      <c r="B53" s="196"/>
      <c r="C53" s="196"/>
      <c r="D53" s="196"/>
    </row>
  </sheetData>
  <sheetProtection algorithmName="SHA-512" hashValue="tZ5ClBlzeCXFpP+cEfC6JuwvNQkmZ7xPKo8JpqGRI9/JLDR8XStVA4VbhQlWEwpgC8xn0VdYWtgWYDFFFHfmyw==" saltValue="TEy1pqsc72yx9y2Y/4ZpjQ==" spinCount="100000" sheet="1" objects="1" scenarios="1"/>
  <mergeCells count="13">
    <mergeCell ref="B1:D1"/>
    <mergeCell ref="B2:D2"/>
    <mergeCell ref="B6:D7"/>
    <mergeCell ref="B10:D10"/>
    <mergeCell ref="B11:D11"/>
    <mergeCell ref="B17:D20"/>
    <mergeCell ref="B23:D24"/>
    <mergeCell ref="B52:D53"/>
    <mergeCell ref="B26:D27"/>
    <mergeCell ref="B25:D25"/>
    <mergeCell ref="B28:D28"/>
    <mergeCell ref="B29:D35"/>
    <mergeCell ref="B37:D5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0425-7028-4C70-B37B-215729A99594}">
  <dimension ref="B1:J64"/>
  <sheetViews>
    <sheetView workbookViewId="0"/>
  </sheetViews>
  <sheetFormatPr defaultRowHeight="14.4" x14ac:dyDescent="0.3"/>
  <cols>
    <col min="1" max="1" width="4.6640625" customWidth="1"/>
    <col min="2" max="2" width="30.5546875" customWidth="1"/>
  </cols>
  <sheetData>
    <row r="1" spans="2:10" ht="18" x14ac:dyDescent="0.35">
      <c r="B1" s="238" t="s">
        <v>567</v>
      </c>
      <c r="C1" s="238"/>
      <c r="D1" s="238"/>
      <c r="E1" s="238"/>
      <c r="F1" s="238"/>
      <c r="G1" s="238"/>
    </row>
    <row r="3" spans="2:10" x14ac:dyDescent="0.3">
      <c r="B3" s="3" t="s">
        <v>568</v>
      </c>
      <c r="F3" s="3"/>
    </row>
    <row r="4" spans="2:10" x14ac:dyDescent="0.3">
      <c r="B4" s="197" t="s">
        <v>569</v>
      </c>
      <c r="C4" s="197"/>
      <c r="D4" s="197"/>
      <c r="E4" s="197"/>
      <c r="F4" s="197"/>
      <c r="G4" s="197"/>
    </row>
    <row r="5" spans="2:10" x14ac:dyDescent="0.3">
      <c r="B5" s="197"/>
      <c r="C5" s="197"/>
      <c r="D5" s="197"/>
      <c r="E5" s="197"/>
      <c r="F5" s="197"/>
      <c r="G5" s="197"/>
    </row>
    <row r="6" spans="2:10" x14ac:dyDescent="0.3">
      <c r="B6" s="58" t="s">
        <v>429</v>
      </c>
      <c r="C6" s="49" t="s">
        <v>570</v>
      </c>
      <c r="D6" s="49" t="s">
        <v>571</v>
      </c>
      <c r="E6" s="49" t="s">
        <v>572</v>
      </c>
      <c r="F6" s="49" t="s">
        <v>573</v>
      </c>
      <c r="G6" s="49" t="s">
        <v>574</v>
      </c>
      <c r="J6" s="55"/>
    </row>
    <row r="7" spans="2:10" x14ac:dyDescent="0.3">
      <c r="B7" s="1" t="s">
        <v>506</v>
      </c>
      <c r="C7" s="56">
        <v>1.1319999999999999</v>
      </c>
      <c r="D7" s="56">
        <v>0.16500000000000001</v>
      </c>
      <c r="E7" s="56">
        <v>7.9000000000000008E-3</v>
      </c>
      <c r="F7" s="56">
        <v>0.12</v>
      </c>
      <c r="G7" s="57">
        <v>2.2999999999999998</v>
      </c>
    </row>
    <row r="8" spans="2:10" x14ac:dyDescent="0.3">
      <c r="B8" s="1" t="s">
        <v>449</v>
      </c>
      <c r="C8" s="56">
        <v>1.1319999999999999</v>
      </c>
      <c r="D8" s="56">
        <v>0.16500000000000001</v>
      </c>
      <c r="E8" s="56">
        <v>7.9000000000000008E-3</v>
      </c>
      <c r="F8" s="56">
        <v>0.04</v>
      </c>
      <c r="G8" s="57">
        <v>2.1</v>
      </c>
    </row>
    <row r="9" spans="2:10" x14ac:dyDescent="0.3">
      <c r="B9" s="1" t="s">
        <v>575</v>
      </c>
      <c r="C9" s="56">
        <v>1.1319999999999999</v>
      </c>
      <c r="D9" s="56">
        <v>0.16500000000000001</v>
      </c>
      <c r="E9" s="56">
        <v>7.9000000000000008E-3</v>
      </c>
      <c r="F9" s="56">
        <v>0.11</v>
      </c>
      <c r="G9" s="57">
        <v>1.8</v>
      </c>
    </row>
    <row r="10" spans="2:10" x14ac:dyDescent="0.3">
      <c r="B10" s="1" t="s">
        <v>471</v>
      </c>
      <c r="C10" s="56">
        <v>0.89100000000000001</v>
      </c>
      <c r="D10" s="56">
        <v>0.11</v>
      </c>
      <c r="E10" s="56">
        <v>0</v>
      </c>
      <c r="F10" s="56">
        <v>0.18</v>
      </c>
      <c r="G10" s="57">
        <v>1.7</v>
      </c>
    </row>
    <row r="11" spans="2:10" x14ac:dyDescent="0.3">
      <c r="B11" s="1" t="s">
        <v>494</v>
      </c>
      <c r="C11" s="56">
        <v>0.89100000000000001</v>
      </c>
      <c r="D11" s="56">
        <v>0.11</v>
      </c>
      <c r="E11" s="56">
        <v>0</v>
      </c>
      <c r="F11" s="56">
        <v>0.27</v>
      </c>
      <c r="G11" s="57">
        <v>1.4</v>
      </c>
    </row>
    <row r="12" spans="2:10" x14ac:dyDescent="0.3">
      <c r="B12" s="1" t="s">
        <v>576</v>
      </c>
      <c r="C12" s="56">
        <v>0.79100000000000004</v>
      </c>
      <c r="D12" s="56">
        <v>9.0999999999999998E-2</v>
      </c>
      <c r="E12" s="56">
        <v>0</v>
      </c>
      <c r="F12" s="56">
        <v>0.15</v>
      </c>
      <c r="G12" s="57">
        <v>1.6</v>
      </c>
    </row>
    <row r="13" spans="2:10" x14ac:dyDescent="0.3">
      <c r="B13" s="1" t="s">
        <v>577</v>
      </c>
      <c r="C13" s="56">
        <v>0.79100000000000004</v>
      </c>
      <c r="D13" s="56">
        <v>9.0999999999999998E-2</v>
      </c>
      <c r="E13" s="56">
        <v>0</v>
      </c>
      <c r="F13" s="56">
        <v>0.03</v>
      </c>
      <c r="G13" s="57">
        <v>2</v>
      </c>
    </row>
    <row r="14" spans="2:10" x14ac:dyDescent="0.3">
      <c r="B14" s="1" t="s">
        <v>578</v>
      </c>
      <c r="C14" s="56">
        <v>0.78600000000000003</v>
      </c>
      <c r="D14" s="56">
        <v>6.3E-2</v>
      </c>
      <c r="E14" s="56">
        <v>3.3E-3</v>
      </c>
      <c r="F14" s="56">
        <v>0.16</v>
      </c>
      <c r="G14" s="57">
        <v>1.6</v>
      </c>
    </row>
    <row r="15" spans="2:10" x14ac:dyDescent="0.3">
      <c r="B15" s="1" t="s">
        <v>502</v>
      </c>
      <c r="C15" s="56">
        <v>0.88300000000000001</v>
      </c>
      <c r="D15" s="56">
        <v>7.8E-2</v>
      </c>
      <c r="E15" s="56">
        <v>0</v>
      </c>
      <c r="F15" s="56">
        <v>0.32</v>
      </c>
      <c r="G15" s="57">
        <v>2.1</v>
      </c>
    </row>
    <row r="16" spans="2:10" x14ac:dyDescent="0.3">
      <c r="B16" s="1" t="s">
        <v>579</v>
      </c>
      <c r="C16" s="56">
        <v>0.85199999999999998</v>
      </c>
      <c r="D16" s="56">
        <v>0.10100000000000001</v>
      </c>
      <c r="E16" s="56">
        <v>0</v>
      </c>
      <c r="F16" s="56">
        <v>0.43</v>
      </c>
      <c r="G16" s="57">
        <v>1.8</v>
      </c>
    </row>
    <row r="17" spans="2:7" x14ac:dyDescent="0.3">
      <c r="B17" s="1" t="s">
        <v>580</v>
      </c>
      <c r="C17" s="56">
        <v>0.85199999999999998</v>
      </c>
      <c r="D17" s="56">
        <v>0.10100000000000001</v>
      </c>
      <c r="E17" s="56">
        <v>0</v>
      </c>
      <c r="F17" s="56">
        <v>0.23</v>
      </c>
      <c r="G17" s="57">
        <v>1.8</v>
      </c>
    </row>
    <row r="18" spans="2:7" x14ac:dyDescent="0.3">
      <c r="B18" s="1" t="s">
        <v>581</v>
      </c>
      <c r="C18" s="56">
        <v>0.79100000000000004</v>
      </c>
      <c r="D18" s="56">
        <v>9.0999999999999998E-2</v>
      </c>
      <c r="E18" s="56">
        <v>0</v>
      </c>
      <c r="F18" s="56">
        <v>0.17</v>
      </c>
      <c r="G18" s="57">
        <v>1.4</v>
      </c>
    </row>
    <row r="19" spans="2:7" x14ac:dyDescent="0.3">
      <c r="B19" s="1" t="s">
        <v>582</v>
      </c>
      <c r="C19" s="56">
        <v>0.75600000000000001</v>
      </c>
      <c r="D19" s="56">
        <v>6.7000000000000004E-2</v>
      </c>
      <c r="E19" s="56">
        <v>0</v>
      </c>
      <c r="F19" s="56">
        <v>0.46</v>
      </c>
      <c r="G19" s="57">
        <v>1.7</v>
      </c>
    </row>
    <row r="20" spans="2:7" x14ac:dyDescent="0.3">
      <c r="B20" s="1" t="s">
        <v>583</v>
      </c>
      <c r="C20" s="56">
        <v>0.75600000000000001</v>
      </c>
      <c r="D20" s="56">
        <v>6.7000000000000004E-2</v>
      </c>
      <c r="E20" s="56">
        <v>0</v>
      </c>
      <c r="F20" s="56">
        <v>0.44</v>
      </c>
      <c r="G20" s="57">
        <v>2</v>
      </c>
    </row>
    <row r="21" spans="2:7" x14ac:dyDescent="0.3">
      <c r="B21" s="1" t="s">
        <v>584</v>
      </c>
      <c r="C21" s="56">
        <v>0.75600000000000001</v>
      </c>
      <c r="D21" s="56">
        <v>6.7000000000000004E-2</v>
      </c>
      <c r="E21" s="56">
        <v>0</v>
      </c>
      <c r="F21" s="56">
        <v>0.18</v>
      </c>
      <c r="G21" s="57">
        <v>1.6</v>
      </c>
    </row>
    <row r="22" spans="2:7" x14ac:dyDescent="0.3">
      <c r="B22" s="1" t="s">
        <v>585</v>
      </c>
      <c r="C22" s="56">
        <v>0.75600000000000001</v>
      </c>
      <c r="D22" s="56">
        <v>6.7000000000000004E-2</v>
      </c>
      <c r="E22" s="56">
        <v>0</v>
      </c>
      <c r="F22" s="56">
        <v>0.16</v>
      </c>
      <c r="G22" s="57">
        <v>2</v>
      </c>
    </row>
    <row r="23" spans="2:7" x14ac:dyDescent="0.3">
      <c r="B23" s="1" t="s">
        <v>586</v>
      </c>
      <c r="C23" s="56">
        <v>0.79100000000000004</v>
      </c>
      <c r="D23" s="56">
        <v>9.0999999999999998E-2</v>
      </c>
      <c r="E23" s="56">
        <v>0</v>
      </c>
      <c r="F23" s="56">
        <v>0.14000000000000001</v>
      </c>
      <c r="G23" s="57">
        <v>2.2999999999999998</v>
      </c>
    </row>
    <row r="24" spans="2:7" x14ac:dyDescent="0.3">
      <c r="B24" s="1" t="s">
        <v>512</v>
      </c>
      <c r="C24" s="56">
        <v>0.88300000000000001</v>
      </c>
      <c r="D24" s="56">
        <v>7.8E-2</v>
      </c>
      <c r="E24" s="56">
        <v>0</v>
      </c>
      <c r="F24" s="56">
        <v>0.32</v>
      </c>
      <c r="G24" s="57">
        <v>2.1</v>
      </c>
    </row>
    <row r="25" spans="2:7" x14ac:dyDescent="0.3">
      <c r="B25" s="1" t="s">
        <v>523</v>
      </c>
      <c r="C25" s="56">
        <v>0.73799999999999999</v>
      </c>
      <c r="D25" s="56">
        <v>5.0999999999999997E-2</v>
      </c>
      <c r="E25" s="56">
        <v>0</v>
      </c>
      <c r="F25" s="56">
        <v>0.28000000000000003</v>
      </c>
      <c r="G25" s="57">
        <v>1.4</v>
      </c>
    </row>
    <row r="26" spans="2:7" x14ac:dyDescent="0.3">
      <c r="B26" s="1" t="s">
        <v>518</v>
      </c>
      <c r="C26" s="56">
        <v>0.73799999999999999</v>
      </c>
      <c r="D26" s="56">
        <v>5.0999999999999997E-2</v>
      </c>
      <c r="E26" s="56">
        <v>0</v>
      </c>
      <c r="F26" s="56">
        <v>0.28999999999999998</v>
      </c>
      <c r="G26" s="57">
        <v>1.8</v>
      </c>
    </row>
    <row r="27" spans="2:7" x14ac:dyDescent="0.3">
      <c r="B27" s="1" t="s">
        <v>467</v>
      </c>
      <c r="C27" s="56">
        <v>0.94299999999999995</v>
      </c>
      <c r="D27" s="56">
        <v>0.111</v>
      </c>
      <c r="E27" s="56">
        <v>0</v>
      </c>
      <c r="F27" s="56">
        <v>0.16</v>
      </c>
      <c r="G27" s="57">
        <v>1.3</v>
      </c>
    </row>
    <row r="28" spans="2:7" x14ac:dyDescent="0.3">
      <c r="B28" s="1" t="s">
        <v>530</v>
      </c>
      <c r="C28" s="56">
        <v>0.89100000000000001</v>
      </c>
      <c r="D28" s="56">
        <v>0.11</v>
      </c>
      <c r="E28" s="56">
        <v>0</v>
      </c>
      <c r="F28" s="56">
        <v>0.17</v>
      </c>
      <c r="G28" s="57">
        <v>2.2000000000000002</v>
      </c>
    </row>
    <row r="29" spans="2:7" x14ac:dyDescent="0.3">
      <c r="B29" s="1" t="s">
        <v>443</v>
      </c>
      <c r="C29" s="56">
        <v>0.94299999999999995</v>
      </c>
      <c r="D29" s="56">
        <v>0.111</v>
      </c>
      <c r="E29" s="56">
        <v>0</v>
      </c>
      <c r="F29" s="56">
        <v>0.41</v>
      </c>
      <c r="G29" s="57">
        <v>1.3</v>
      </c>
    </row>
    <row r="30" spans="2:7" x14ac:dyDescent="0.3">
      <c r="B30" s="1" t="s">
        <v>475</v>
      </c>
      <c r="C30" s="56">
        <v>0.94299999999999995</v>
      </c>
      <c r="D30" s="56">
        <v>0.111</v>
      </c>
      <c r="E30" s="56">
        <v>0</v>
      </c>
      <c r="F30" s="56">
        <v>0.63</v>
      </c>
      <c r="G30" s="57">
        <v>1.3</v>
      </c>
    </row>
    <row r="31" spans="2:7" x14ac:dyDescent="0.3">
      <c r="B31" s="1" t="s">
        <v>587</v>
      </c>
      <c r="C31" s="56">
        <v>0.94299999999999995</v>
      </c>
      <c r="D31" s="56">
        <v>0.111</v>
      </c>
      <c r="E31" s="56">
        <v>0</v>
      </c>
      <c r="F31" s="56">
        <v>0.28000000000000003</v>
      </c>
      <c r="G31" s="57">
        <v>1.4</v>
      </c>
    </row>
    <row r="32" spans="2:7" x14ac:dyDescent="0.3">
      <c r="B32" s="1" t="s">
        <v>588</v>
      </c>
      <c r="C32" s="56">
        <v>0.94199999999999995</v>
      </c>
      <c r="D32" s="56">
        <v>0.1</v>
      </c>
      <c r="E32" s="56">
        <v>8.0000000000000004E-4</v>
      </c>
      <c r="F32" s="56">
        <v>3.0000000000000001E-3</v>
      </c>
      <c r="G32" s="57">
        <v>2</v>
      </c>
    </row>
    <row r="33" spans="2:9" x14ac:dyDescent="0.3">
      <c r="B33" s="1" t="s">
        <v>451</v>
      </c>
      <c r="C33" s="56">
        <v>0.97599999999999998</v>
      </c>
      <c r="D33" s="56">
        <v>0.11899999999999999</v>
      </c>
      <c r="E33" s="56">
        <v>1.9E-3</v>
      </c>
      <c r="F33" s="56">
        <v>3.0000000000000001E-3</v>
      </c>
      <c r="G33" s="57">
        <v>2</v>
      </c>
    </row>
    <row r="34" spans="2:9" x14ac:dyDescent="0.3">
      <c r="B34" s="1" t="s">
        <v>498</v>
      </c>
      <c r="C34" s="56">
        <v>0.78600000000000003</v>
      </c>
      <c r="D34" s="56">
        <v>6.3E-2</v>
      </c>
      <c r="E34" s="56">
        <v>3.3E-3</v>
      </c>
      <c r="F34" s="56">
        <v>0.19</v>
      </c>
      <c r="G34" s="57">
        <v>1.3</v>
      </c>
    </row>
    <row r="35" spans="2:9" x14ac:dyDescent="0.3">
      <c r="B35" s="1" t="s">
        <v>589</v>
      </c>
      <c r="C35" s="56">
        <v>0.79100000000000004</v>
      </c>
      <c r="D35" s="56">
        <v>9.0999999999999998E-2</v>
      </c>
      <c r="E35" s="56">
        <v>0</v>
      </c>
      <c r="F35" s="56">
        <v>0.06</v>
      </c>
      <c r="G35" s="57">
        <v>2</v>
      </c>
    </row>
    <row r="37" spans="2:9" x14ac:dyDescent="0.3">
      <c r="B37" s="3" t="s">
        <v>590</v>
      </c>
    </row>
    <row r="38" spans="2:9" x14ac:dyDescent="0.3">
      <c r="B38" s="197" t="s">
        <v>591</v>
      </c>
      <c r="C38" s="197"/>
      <c r="D38" s="197"/>
      <c r="E38" s="197"/>
      <c r="F38" s="197"/>
      <c r="G38" s="197"/>
      <c r="H38" s="197"/>
      <c r="I38" s="197"/>
    </row>
    <row r="39" spans="2:9" x14ac:dyDescent="0.3">
      <c r="B39" s="197"/>
      <c r="C39" s="197"/>
      <c r="D39" s="197"/>
      <c r="E39" s="197"/>
      <c r="F39" s="197"/>
      <c r="G39" s="197"/>
      <c r="H39" s="197"/>
      <c r="I39" s="197"/>
    </row>
    <row r="40" spans="2:9" x14ac:dyDescent="0.3">
      <c r="B40" s="237" t="s">
        <v>592</v>
      </c>
      <c r="C40" s="237"/>
      <c r="D40" s="237"/>
      <c r="E40" s="237"/>
      <c r="F40" s="237"/>
      <c r="G40" s="237"/>
      <c r="H40" s="237"/>
      <c r="I40" s="237"/>
    </row>
    <row r="41" spans="2:9" x14ac:dyDescent="0.3">
      <c r="B41" s="3"/>
      <c r="C41" s="236" t="s">
        <v>593</v>
      </c>
      <c r="D41" s="236"/>
      <c r="E41" s="236"/>
      <c r="F41" s="236"/>
      <c r="G41" s="236"/>
      <c r="H41" s="236"/>
      <c r="I41" s="236"/>
    </row>
    <row r="42" spans="2:9" x14ac:dyDescent="0.3">
      <c r="B42" s="51" t="s">
        <v>594</v>
      </c>
      <c r="C42" s="14">
        <v>10</v>
      </c>
      <c r="D42" s="15">
        <v>20</v>
      </c>
      <c r="E42" s="15">
        <v>30</v>
      </c>
      <c r="F42" s="15">
        <v>40</v>
      </c>
      <c r="G42" s="15">
        <v>50</v>
      </c>
      <c r="H42" s="15">
        <v>60</v>
      </c>
      <c r="I42" s="15">
        <v>80</v>
      </c>
    </row>
    <row r="43" spans="2:9" x14ac:dyDescent="0.3">
      <c r="B43" s="3">
        <v>0</v>
      </c>
      <c r="C43" s="5">
        <v>0.26250000000000001</v>
      </c>
      <c r="D43" s="4">
        <v>0.52500000000000002</v>
      </c>
      <c r="E43" s="4">
        <v>0.78749999999999998</v>
      </c>
      <c r="F43" s="4">
        <v>1.05</v>
      </c>
      <c r="G43" s="4">
        <v>1.3125</v>
      </c>
      <c r="H43" s="4">
        <v>1.575</v>
      </c>
      <c r="I43" s="4">
        <v>2.1124999999999998</v>
      </c>
    </row>
    <row r="44" spans="2:9" x14ac:dyDescent="0.3">
      <c r="B44" s="3">
        <v>50</v>
      </c>
      <c r="C44" s="5">
        <v>0.83750000000000002</v>
      </c>
      <c r="D44" s="4">
        <v>1.1000000000000001</v>
      </c>
      <c r="E44" s="4">
        <v>1.3625</v>
      </c>
      <c r="F44" s="4">
        <v>1.625</v>
      </c>
      <c r="G44" s="4">
        <v>1.8875</v>
      </c>
      <c r="H44" s="4">
        <v>2.15</v>
      </c>
      <c r="I44" s="4">
        <v>2.6750000000000003</v>
      </c>
    </row>
    <row r="45" spans="2:9" x14ac:dyDescent="0.3">
      <c r="B45" s="3">
        <v>100</v>
      </c>
      <c r="C45" s="5">
        <v>1.4000000000000001</v>
      </c>
      <c r="D45" s="4">
        <v>1.6625000000000001</v>
      </c>
      <c r="E45" s="4">
        <v>1.925</v>
      </c>
      <c r="F45" s="4">
        <v>2.1875</v>
      </c>
      <c r="G45" s="4">
        <v>2.4624999999999999</v>
      </c>
      <c r="H45" s="4">
        <v>2.7250000000000001</v>
      </c>
      <c r="I45" s="4">
        <v>3.25</v>
      </c>
    </row>
    <row r="46" spans="2:9" x14ac:dyDescent="0.3">
      <c r="B46" s="3">
        <v>150</v>
      </c>
      <c r="C46" s="5">
        <v>1.9750000000000001</v>
      </c>
      <c r="D46" s="4">
        <v>2.2374999999999998</v>
      </c>
      <c r="E46" s="4">
        <v>2.5</v>
      </c>
      <c r="F46" s="4">
        <v>2.7625000000000002</v>
      </c>
      <c r="G46" s="4">
        <v>3.0249999999999999</v>
      </c>
      <c r="H46" s="4">
        <v>3.2874999999999996</v>
      </c>
      <c r="I46" s="4">
        <v>3.8125</v>
      </c>
    </row>
    <row r="47" spans="2:9" x14ac:dyDescent="0.3">
      <c r="B47" s="3">
        <v>200</v>
      </c>
      <c r="C47" s="5">
        <v>2.5374999999999996</v>
      </c>
      <c r="D47" s="4">
        <v>2.8125</v>
      </c>
      <c r="E47" s="4">
        <v>3.0750000000000002</v>
      </c>
      <c r="F47" s="4">
        <v>3.3374999999999999</v>
      </c>
      <c r="G47" s="4">
        <v>3.5999999999999996</v>
      </c>
      <c r="H47" s="4">
        <v>3.8624999999999998</v>
      </c>
      <c r="I47" s="4">
        <v>4.3874999999999993</v>
      </c>
    </row>
    <row r="48" spans="2:9" x14ac:dyDescent="0.3">
      <c r="B48" s="3">
        <v>250</v>
      </c>
      <c r="C48" s="5">
        <v>3.1125000000000003</v>
      </c>
      <c r="D48" s="4">
        <v>3.375</v>
      </c>
      <c r="E48" s="4">
        <v>3.6375000000000002</v>
      </c>
      <c r="F48" s="4">
        <v>3.9000000000000004</v>
      </c>
      <c r="G48" s="4">
        <v>4.1624999999999996</v>
      </c>
      <c r="H48" s="4">
        <v>4.4249999999999998</v>
      </c>
      <c r="I48" s="4">
        <v>4.9625000000000004</v>
      </c>
    </row>
    <row r="49" spans="2:9" x14ac:dyDescent="0.3">
      <c r="B49" s="3">
        <v>300</v>
      </c>
      <c r="C49" s="5">
        <v>4.9375</v>
      </c>
      <c r="D49" s="4">
        <v>3.95</v>
      </c>
      <c r="E49" s="4">
        <v>4.2125000000000004</v>
      </c>
      <c r="F49" s="4">
        <v>4.4749999999999996</v>
      </c>
      <c r="G49" s="4">
        <v>4.7374999999999998</v>
      </c>
      <c r="H49" s="4">
        <v>5</v>
      </c>
      <c r="I49" s="4">
        <v>5.5250000000000004</v>
      </c>
    </row>
    <row r="50" spans="2:9" x14ac:dyDescent="0.3">
      <c r="B50" s="3">
        <v>350</v>
      </c>
      <c r="C50" s="5">
        <v>4.25</v>
      </c>
      <c r="D50" s="4">
        <v>4.5125000000000002</v>
      </c>
      <c r="E50" s="4">
        <v>4.7749999999999995</v>
      </c>
      <c r="F50" s="4">
        <v>5.0375000000000005</v>
      </c>
      <c r="G50" s="4">
        <v>5.3125</v>
      </c>
      <c r="H50" s="4">
        <v>5.5750000000000002</v>
      </c>
      <c r="I50" s="4">
        <v>6.1</v>
      </c>
    </row>
    <row r="51" spans="2:9" x14ac:dyDescent="0.3">
      <c r="B51" s="3">
        <v>400</v>
      </c>
      <c r="C51" s="5">
        <v>4.8250000000000002</v>
      </c>
      <c r="D51" s="4">
        <v>5.0875000000000004</v>
      </c>
      <c r="E51" s="4">
        <v>5.35</v>
      </c>
      <c r="F51" s="4">
        <v>5.6124999999999998</v>
      </c>
      <c r="G51" s="4">
        <v>5.875</v>
      </c>
      <c r="H51" s="4">
        <v>6.1375000000000002</v>
      </c>
      <c r="I51" s="4">
        <v>6.6624999999999996</v>
      </c>
    </row>
    <row r="53" spans="2:9" x14ac:dyDescent="0.3">
      <c r="B53" s="11" t="s">
        <v>595</v>
      </c>
      <c r="C53" s="11"/>
      <c r="D53" s="11"/>
      <c r="E53" s="11"/>
      <c r="F53" s="11"/>
      <c r="G53" s="11"/>
      <c r="H53" s="21"/>
      <c r="I53" s="21"/>
    </row>
    <row r="54" spans="2:9" x14ac:dyDescent="0.3">
      <c r="B54" s="3"/>
      <c r="C54" s="236" t="s">
        <v>593</v>
      </c>
      <c r="D54" s="236"/>
      <c r="E54" s="236"/>
      <c r="F54" s="236"/>
      <c r="G54" s="236"/>
      <c r="H54" s="236"/>
      <c r="I54" s="236"/>
    </row>
    <row r="55" spans="2:9" x14ac:dyDescent="0.3">
      <c r="B55" s="51" t="s">
        <v>594</v>
      </c>
      <c r="C55" s="6">
        <v>10</v>
      </c>
      <c r="D55" s="6">
        <v>20</v>
      </c>
      <c r="E55" s="6">
        <v>30</v>
      </c>
      <c r="F55" s="6">
        <v>40</v>
      </c>
      <c r="G55" s="6">
        <v>50</v>
      </c>
      <c r="H55" s="6">
        <v>60</v>
      </c>
      <c r="I55" s="6">
        <v>80</v>
      </c>
    </row>
    <row r="56" spans="2:9" x14ac:dyDescent="0.3">
      <c r="B56" s="52">
        <v>0</v>
      </c>
      <c r="C56" s="4">
        <f>C43*14.12</f>
        <v>3.7065000000000001</v>
      </c>
      <c r="D56" s="4">
        <f t="shared" ref="D56:G56" si="0">D43*14.12</f>
        <v>7.4130000000000003</v>
      </c>
      <c r="E56" s="4">
        <f t="shared" si="0"/>
        <v>11.119499999999999</v>
      </c>
      <c r="F56" s="4">
        <f t="shared" si="0"/>
        <v>14.826000000000001</v>
      </c>
      <c r="G56" s="4">
        <f t="shared" si="0"/>
        <v>18.532499999999999</v>
      </c>
      <c r="H56" s="4">
        <f t="shared" ref="H56:I64" si="1">H43*14.12</f>
        <v>22.238999999999997</v>
      </c>
      <c r="I56" s="4">
        <f t="shared" si="1"/>
        <v>29.828499999999995</v>
      </c>
    </row>
    <row r="57" spans="2:9" x14ac:dyDescent="0.3">
      <c r="B57" s="52">
        <v>50</v>
      </c>
      <c r="C57" s="4">
        <f t="shared" ref="C57:G57" si="2">C44*14.12</f>
        <v>11.8255</v>
      </c>
      <c r="D57" s="4">
        <f t="shared" si="2"/>
        <v>15.532</v>
      </c>
      <c r="E57" s="4">
        <f t="shared" si="2"/>
        <v>19.238499999999998</v>
      </c>
      <c r="F57" s="4">
        <f t="shared" si="2"/>
        <v>22.945</v>
      </c>
      <c r="G57" s="4">
        <f t="shared" si="2"/>
        <v>26.651499999999999</v>
      </c>
      <c r="H57" s="4">
        <f t="shared" si="1"/>
        <v>30.357999999999997</v>
      </c>
      <c r="I57" s="4">
        <f t="shared" si="1"/>
        <v>37.771000000000001</v>
      </c>
    </row>
    <row r="58" spans="2:9" x14ac:dyDescent="0.3">
      <c r="B58" s="52">
        <v>100</v>
      </c>
      <c r="C58" s="4">
        <f t="shared" ref="C58:G58" si="3">C45*14.12</f>
        <v>19.768000000000001</v>
      </c>
      <c r="D58" s="4">
        <f t="shared" si="3"/>
        <v>23.474499999999999</v>
      </c>
      <c r="E58" s="4">
        <f t="shared" si="3"/>
        <v>27.180999999999997</v>
      </c>
      <c r="F58" s="4">
        <f t="shared" si="3"/>
        <v>30.887499999999999</v>
      </c>
      <c r="G58" s="4">
        <f t="shared" si="3"/>
        <v>34.770499999999998</v>
      </c>
      <c r="H58" s="4">
        <f t="shared" si="1"/>
        <v>38.476999999999997</v>
      </c>
      <c r="I58" s="4">
        <f t="shared" si="1"/>
        <v>45.89</v>
      </c>
    </row>
    <row r="59" spans="2:9" x14ac:dyDescent="0.3">
      <c r="B59" s="52">
        <v>150</v>
      </c>
      <c r="C59" s="4">
        <f t="shared" ref="C59:G59" si="4">C46*14.12</f>
        <v>27.887</v>
      </c>
      <c r="D59" s="4">
        <f t="shared" si="4"/>
        <v>31.593499999999995</v>
      </c>
      <c r="E59" s="4">
        <f t="shared" si="4"/>
        <v>35.299999999999997</v>
      </c>
      <c r="F59" s="4">
        <f t="shared" si="4"/>
        <v>39.006500000000003</v>
      </c>
      <c r="G59" s="4">
        <f t="shared" si="4"/>
        <v>42.712999999999994</v>
      </c>
      <c r="H59" s="4">
        <f t="shared" si="1"/>
        <v>46.419499999999992</v>
      </c>
      <c r="I59" s="4">
        <f t="shared" si="1"/>
        <v>53.832499999999996</v>
      </c>
    </row>
    <row r="60" spans="2:9" x14ac:dyDescent="0.3">
      <c r="B60" s="52">
        <v>200</v>
      </c>
      <c r="C60" s="4">
        <f t="shared" ref="C60:G60" si="5">C47*14.12</f>
        <v>35.829499999999996</v>
      </c>
      <c r="D60" s="4">
        <f t="shared" si="5"/>
        <v>39.712499999999999</v>
      </c>
      <c r="E60" s="4">
        <f t="shared" si="5"/>
        <v>43.418999999999997</v>
      </c>
      <c r="F60" s="4">
        <f t="shared" si="5"/>
        <v>47.125499999999995</v>
      </c>
      <c r="G60" s="4">
        <f t="shared" si="5"/>
        <v>50.831999999999994</v>
      </c>
      <c r="H60" s="4">
        <f t="shared" si="1"/>
        <v>54.538499999999992</v>
      </c>
      <c r="I60" s="4">
        <f t="shared" si="1"/>
        <v>61.951499999999989</v>
      </c>
    </row>
    <row r="61" spans="2:9" x14ac:dyDescent="0.3">
      <c r="B61" s="52">
        <v>250</v>
      </c>
      <c r="C61" s="4">
        <f t="shared" ref="C61:G61" si="6">C48*14.12</f>
        <v>43.948500000000003</v>
      </c>
      <c r="D61" s="4">
        <f t="shared" si="6"/>
        <v>47.654999999999994</v>
      </c>
      <c r="E61" s="4">
        <f t="shared" si="6"/>
        <v>51.361499999999999</v>
      </c>
      <c r="F61" s="4">
        <f t="shared" si="6"/>
        <v>55.068000000000005</v>
      </c>
      <c r="G61" s="4">
        <f t="shared" si="6"/>
        <v>58.774499999999989</v>
      </c>
      <c r="H61" s="4">
        <f t="shared" si="1"/>
        <v>62.480999999999995</v>
      </c>
      <c r="I61" s="4">
        <f t="shared" si="1"/>
        <v>70.070499999999996</v>
      </c>
    </row>
    <row r="62" spans="2:9" x14ac:dyDescent="0.3">
      <c r="B62" s="52">
        <v>300</v>
      </c>
      <c r="C62" s="4">
        <f t="shared" ref="C62:G62" si="7">C49*14.12</f>
        <v>69.717500000000001</v>
      </c>
      <c r="D62" s="4">
        <f t="shared" si="7"/>
        <v>55.774000000000001</v>
      </c>
      <c r="E62" s="4">
        <f t="shared" si="7"/>
        <v>59.480499999999999</v>
      </c>
      <c r="F62" s="4">
        <f t="shared" si="7"/>
        <v>63.186999999999991</v>
      </c>
      <c r="G62" s="4">
        <f t="shared" si="7"/>
        <v>66.893499999999989</v>
      </c>
      <c r="H62" s="4">
        <f t="shared" si="1"/>
        <v>70.599999999999994</v>
      </c>
      <c r="I62" s="4">
        <f t="shared" si="1"/>
        <v>78.013000000000005</v>
      </c>
    </row>
    <row r="63" spans="2:9" x14ac:dyDescent="0.3">
      <c r="B63" s="52">
        <v>350</v>
      </c>
      <c r="C63" s="4">
        <f t="shared" ref="C63:G63" si="8">C50*14.12</f>
        <v>60.01</v>
      </c>
      <c r="D63" s="4">
        <f t="shared" si="8"/>
        <v>63.716499999999996</v>
      </c>
      <c r="E63" s="4">
        <f t="shared" si="8"/>
        <v>67.422999999999988</v>
      </c>
      <c r="F63" s="4">
        <f t="shared" si="8"/>
        <v>71.129500000000007</v>
      </c>
      <c r="G63" s="4">
        <f t="shared" si="8"/>
        <v>75.012500000000003</v>
      </c>
      <c r="H63" s="4">
        <f t="shared" si="1"/>
        <v>78.718999999999994</v>
      </c>
      <c r="I63" s="4">
        <f t="shared" si="1"/>
        <v>86.131999999999991</v>
      </c>
    </row>
    <row r="64" spans="2:9" x14ac:dyDescent="0.3">
      <c r="B64" s="52">
        <v>400</v>
      </c>
      <c r="C64" s="4">
        <f t="shared" ref="C64:G64" si="9">C51*14.12</f>
        <v>68.129000000000005</v>
      </c>
      <c r="D64" s="4">
        <f t="shared" si="9"/>
        <v>71.835499999999996</v>
      </c>
      <c r="E64" s="4">
        <f t="shared" si="9"/>
        <v>75.541999999999987</v>
      </c>
      <c r="F64" s="4">
        <f t="shared" si="9"/>
        <v>79.248499999999993</v>
      </c>
      <c r="G64" s="4">
        <f t="shared" si="9"/>
        <v>82.954999999999998</v>
      </c>
      <c r="H64" s="4">
        <f t="shared" si="1"/>
        <v>86.661500000000004</v>
      </c>
      <c r="I64" s="4">
        <f t="shared" si="1"/>
        <v>94.074499999999986</v>
      </c>
    </row>
  </sheetData>
  <sheetProtection algorithmName="SHA-512" hashValue="KbtuCTIohGk/OdMm5ifqxhFWcj5GBtg/snaoMNsN6BimO8STkf6n39xiDlwpppraThCJKG8hB/w+t8KEkBwYbg==" saltValue="4NlIFMpOdVPSTIvTtw/s5Q==" spinCount="100000" sheet="1" objects="1" scenarios="1"/>
  <mergeCells count="6">
    <mergeCell ref="C54:I54"/>
    <mergeCell ref="C41:I41"/>
    <mergeCell ref="B38:I39"/>
    <mergeCell ref="B40:I40"/>
    <mergeCell ref="B1:G1"/>
    <mergeCell ref="B4: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FAC70-641A-4856-868E-0C9E0407FDC3}">
  <dimension ref="B1:M68"/>
  <sheetViews>
    <sheetView showGridLines="0" tabSelected="1" workbookViewId="0"/>
  </sheetViews>
  <sheetFormatPr defaultRowHeight="14.4" x14ac:dyDescent="0.3"/>
  <cols>
    <col min="1" max="1" width="4.6640625" customWidth="1"/>
    <col min="2" max="7" width="15.6640625" customWidth="1"/>
    <col min="8" max="8" width="4.6640625" customWidth="1"/>
    <col min="9" max="9" width="18.5546875" customWidth="1"/>
  </cols>
  <sheetData>
    <row r="1" spans="2:8" x14ac:dyDescent="0.3">
      <c r="B1" s="199"/>
      <c r="C1" s="199"/>
      <c r="D1" s="199"/>
      <c r="E1" s="199"/>
      <c r="F1" s="199"/>
      <c r="G1" s="199"/>
    </row>
    <row r="2" spans="2:8" ht="18.600000000000001" thickBot="1" x14ac:dyDescent="0.4">
      <c r="B2" s="200" t="s">
        <v>18</v>
      </c>
      <c r="C2" s="200"/>
      <c r="D2" s="200"/>
      <c r="E2" s="200"/>
      <c r="F2" s="200"/>
      <c r="G2" s="200"/>
      <c r="H2" s="9"/>
    </row>
    <row r="3" spans="2:8" ht="18.600000000000001" thickTop="1" x14ac:dyDescent="0.35">
      <c r="B3" s="206" t="str">
        <f>FieldBudgetProfile!C3</f>
        <v>Suwannee Valley Irrigated Peanut - Strip-Till, Rented Land</v>
      </c>
      <c r="C3" s="206"/>
      <c r="D3" s="206"/>
      <c r="E3" s="206"/>
      <c r="F3" s="206"/>
      <c r="G3" s="206"/>
      <c r="H3" s="9"/>
    </row>
    <row r="4" spans="2:8" x14ac:dyDescent="0.3">
      <c r="B4" s="207" t="str">
        <f>"Version:"&amp;" "&amp;FieldBudgetProfile!C4</f>
        <v>Version: 2025 Pre-Season (February)</v>
      </c>
      <c r="C4" s="207"/>
      <c r="D4" s="207"/>
      <c r="E4" s="207"/>
      <c r="F4" s="207"/>
      <c r="G4" s="207"/>
    </row>
    <row r="5" spans="2:8" x14ac:dyDescent="0.3">
      <c r="B5" s="202" t="s">
        <v>19</v>
      </c>
      <c r="C5" s="202"/>
      <c r="D5" s="202" t="s">
        <v>20</v>
      </c>
      <c r="E5" s="202"/>
      <c r="F5" s="8" t="s">
        <v>644</v>
      </c>
      <c r="G5" s="8" t="s">
        <v>21</v>
      </c>
    </row>
    <row r="6" spans="2:8" x14ac:dyDescent="0.3">
      <c r="B6" s="201" t="str">
        <f>FieldBudgetProfile!B8</f>
        <v>Runner-type peanut</v>
      </c>
      <c r="C6" s="201"/>
      <c r="D6" s="201" t="str">
        <f>FieldBudgetProfile!C8</f>
        <v>Irrigated sandy soil</v>
      </c>
      <c r="E6" s="201"/>
      <c r="F6" s="1">
        <f>YieldPerAcre</f>
        <v>2.5</v>
      </c>
      <c r="G6" s="1">
        <f>Planted_Acres</f>
        <v>140</v>
      </c>
    </row>
    <row r="7" spans="2:8" x14ac:dyDescent="0.3">
      <c r="B7" s="199"/>
      <c r="C7" s="199"/>
      <c r="D7" s="199"/>
      <c r="E7" s="199"/>
    </row>
    <row r="8" spans="2:8" x14ac:dyDescent="0.3">
      <c r="B8" s="239" t="s">
        <v>645</v>
      </c>
      <c r="C8" s="239"/>
      <c r="D8" s="239"/>
      <c r="E8" s="187" t="s">
        <v>646</v>
      </c>
      <c r="F8" s="187" t="s">
        <v>647</v>
      </c>
      <c r="G8" s="187" t="s">
        <v>648</v>
      </c>
    </row>
    <row r="9" spans="2:8" x14ac:dyDescent="0.3">
      <c r="B9" s="202" t="s">
        <v>23</v>
      </c>
      <c r="C9" s="202"/>
      <c r="D9" s="202"/>
      <c r="E9" s="188">
        <f>SUM(E10:E14)</f>
        <v>598.74546874999987</v>
      </c>
      <c r="F9" s="188">
        <f t="shared" ref="F9:G9" si="0">SUM(F10:F14)</f>
        <v>239.49818749999997</v>
      </c>
      <c r="G9" s="188">
        <f t="shared" si="0"/>
        <v>83824.365624999991</v>
      </c>
    </row>
    <row r="10" spans="2:8" x14ac:dyDescent="0.3">
      <c r="B10" s="201" t="s">
        <v>629</v>
      </c>
      <c r="C10" s="201"/>
      <c r="D10" s="201"/>
      <c r="E10" s="79">
        <f>SeedCostPerAcre</f>
        <v>132</v>
      </c>
      <c r="F10" s="180">
        <f>IFERROR(E10/YieldPerAcre,"")</f>
        <v>52.8</v>
      </c>
      <c r="G10" s="184">
        <f>E10*Planted_Acres</f>
        <v>18480</v>
      </c>
    </row>
    <row r="11" spans="2:8" x14ac:dyDescent="0.3">
      <c r="B11" s="201" t="s">
        <v>26</v>
      </c>
      <c r="C11" s="201"/>
      <c r="D11" s="201"/>
      <c r="E11" s="79">
        <f>FertilizerCostPerAcre</f>
        <v>167.78099999999998</v>
      </c>
      <c r="F11" s="180">
        <f>IFERROR(E11/YieldPerAcre,"")</f>
        <v>67.112399999999994</v>
      </c>
      <c r="G11" s="184">
        <f>E11*Planted_Acres</f>
        <v>23489.339999999997</v>
      </c>
    </row>
    <row r="12" spans="2:8" x14ac:dyDescent="0.3">
      <c r="B12" s="201" t="s">
        <v>27</v>
      </c>
      <c r="C12" s="201"/>
      <c r="D12" s="201"/>
      <c r="E12" s="79">
        <f>FungicideCostPerAcre+HerbicideCostPerAcre+InsecticideCostPerAcre+NematicideCostPerAcre</f>
        <v>221.74571874999998</v>
      </c>
      <c r="F12" s="180">
        <f>IFERROR(E12/YieldPerAcre,"")</f>
        <v>88.698287499999992</v>
      </c>
      <c r="G12" s="184">
        <f>E12*Planted_Acres</f>
        <v>31044.400624999998</v>
      </c>
    </row>
    <row r="13" spans="2:8" x14ac:dyDescent="0.3">
      <c r="B13" s="201" t="s">
        <v>28</v>
      </c>
      <c r="C13" s="201"/>
      <c r="D13" s="201"/>
      <c r="E13" s="79">
        <f>OtherMaterialCostPerAcre</f>
        <v>47.21875</v>
      </c>
      <c r="F13" s="180">
        <f>IFERROR(E13/YieldPerAcre,"")</f>
        <v>18.887499999999999</v>
      </c>
      <c r="G13" s="184">
        <f>E13*Planted_Acres</f>
        <v>6610.625</v>
      </c>
    </row>
    <row r="14" spans="2:8" x14ac:dyDescent="0.3">
      <c r="B14" s="201" t="s">
        <v>29</v>
      </c>
      <c r="C14" s="201"/>
      <c r="D14" s="201"/>
      <c r="E14" s="79">
        <f>CustomCostPerAcre</f>
        <v>30</v>
      </c>
      <c r="F14" s="180">
        <f>IFERROR(E14/YieldPerAcre,"")</f>
        <v>12</v>
      </c>
      <c r="G14" s="184">
        <f>E14*Planted_Acres</f>
        <v>4200</v>
      </c>
    </row>
    <row r="15" spans="2:8" x14ac:dyDescent="0.3">
      <c r="B15" s="202" t="s">
        <v>30</v>
      </c>
      <c r="C15" s="202"/>
      <c r="D15" s="202"/>
      <c r="E15" s="188">
        <f>SUM(E16:E20)</f>
        <v>234.92455051136668</v>
      </c>
      <c r="F15" s="188">
        <f t="shared" ref="F15:G15" si="1">SUM(F16:F20)</f>
        <v>93.969820204546664</v>
      </c>
      <c r="G15" s="188">
        <f t="shared" si="1"/>
        <v>32889.437071591332</v>
      </c>
    </row>
    <row r="16" spans="2:8" x14ac:dyDescent="0.3">
      <c r="B16" s="201" t="s">
        <v>31</v>
      </c>
      <c r="C16" s="201"/>
      <c r="D16" s="201"/>
      <c r="E16" s="79">
        <f>LaborCost_TotalPerAcre</f>
        <v>36.428866751020408</v>
      </c>
      <c r="F16" s="180">
        <f>IFERROR(E16/YieldPerAcre,"")</f>
        <v>14.571546700408163</v>
      </c>
      <c r="G16" s="184">
        <f>E16*Planted_Acres</f>
        <v>5100.0413451428567</v>
      </c>
    </row>
    <row r="17" spans="2:13" x14ac:dyDescent="0.3">
      <c r="B17" s="201" t="s">
        <v>32</v>
      </c>
      <c r="C17" s="201"/>
      <c r="D17" s="201"/>
      <c r="E17" s="79">
        <f>FuelElectric_TotalPerAcre-E18</f>
        <v>38.19778546687499</v>
      </c>
      <c r="F17" s="180">
        <f>IFERROR(E17/YieldPerAcre,"")</f>
        <v>15.279114186749997</v>
      </c>
      <c r="G17" s="184">
        <f>E17*Planted_Acres</f>
        <v>5347.6899653624987</v>
      </c>
    </row>
    <row r="18" spans="2:13" x14ac:dyDescent="0.3">
      <c r="B18" s="201" t="s">
        <v>33</v>
      </c>
      <c r="C18" s="201"/>
      <c r="D18" s="201"/>
      <c r="E18" s="79">
        <f>IF(IrrigPowerType="Electric",IrrigPowerCost_TotalPerAcre,0)</f>
        <v>47.121263999999996</v>
      </c>
      <c r="F18" s="180">
        <f>IFERROR(E18/YieldPerAcre,"")</f>
        <v>18.848505599999999</v>
      </c>
      <c r="G18" s="184">
        <f>E18*Planted_Acres</f>
        <v>6596.97696</v>
      </c>
    </row>
    <row r="19" spans="2:13" x14ac:dyDescent="0.3">
      <c r="B19" s="201" t="s">
        <v>34</v>
      </c>
      <c r="C19" s="201"/>
      <c r="D19" s="201"/>
      <c r="E19" s="79">
        <f>RMCost_TotalPerAcre</f>
        <v>70.164777887679861</v>
      </c>
      <c r="F19" s="180">
        <f>IFERROR(E19/YieldPerAcre,"")</f>
        <v>28.065911155071944</v>
      </c>
      <c r="G19" s="184">
        <f>E19*Planted_Acres</f>
        <v>9823.0689042751801</v>
      </c>
    </row>
    <row r="20" spans="2:13" x14ac:dyDescent="0.3">
      <c r="B20" s="201" t="s">
        <v>35</v>
      </c>
      <c r="C20" s="201"/>
      <c r="D20" s="201"/>
      <c r="E20" s="79">
        <f>(SUM(E10:E14)+SUM(E16:E19))*InterestRate_EffectiveOperating</f>
        <v>43.011856405791413</v>
      </c>
      <c r="F20" s="180">
        <f>IFERROR(E20/YieldPerAcre,"")</f>
        <v>17.204742562316564</v>
      </c>
      <c r="G20" s="184">
        <f>E20*Planted_Acres</f>
        <v>6021.6598968107974</v>
      </c>
    </row>
    <row r="21" spans="2:13" x14ac:dyDescent="0.3">
      <c r="B21" s="202" t="s">
        <v>36</v>
      </c>
      <c r="C21" s="202"/>
      <c r="D21" s="202"/>
      <c r="E21" s="188">
        <f>SUM(E22:E24)</f>
        <v>195.72408883050804</v>
      </c>
      <c r="F21" s="188">
        <f t="shared" ref="F21:G21" si="2">SUM(F22:F24)</f>
        <v>78.289635532203206</v>
      </c>
      <c r="G21" s="188">
        <f t="shared" si="2"/>
        <v>27401.372436271122</v>
      </c>
    </row>
    <row r="22" spans="2:13" x14ac:dyDescent="0.3">
      <c r="B22" s="201" t="s">
        <v>37</v>
      </c>
      <c r="C22" s="201"/>
      <c r="D22" s="201"/>
      <c r="E22" s="79">
        <f>MachineryFixedCostPerAcre</f>
        <v>185.48888902230127</v>
      </c>
      <c r="F22" s="180">
        <f>IFERROR(E22/YieldPerAcre,"")</f>
        <v>74.1955556089205</v>
      </c>
      <c r="G22" s="184">
        <f>E22*Planted_Acres</f>
        <v>25968.444463122178</v>
      </c>
    </row>
    <row r="23" spans="2:13" x14ac:dyDescent="0.3">
      <c r="B23" s="201" t="s">
        <v>38</v>
      </c>
      <c r="C23" s="201"/>
      <c r="D23" s="201"/>
      <c r="E23" s="79">
        <f>VehicleFixedCostPerAcre</f>
        <v>5.020914093921041</v>
      </c>
      <c r="F23" s="180">
        <f>IFERROR(E23/YieldPerAcre,"")</f>
        <v>2.0083656375684162</v>
      </c>
      <c r="G23" s="184">
        <f>E23*Planted_Acres</f>
        <v>702.92797314894574</v>
      </c>
    </row>
    <row r="24" spans="2:13" x14ac:dyDescent="0.3">
      <c r="B24" s="201" t="s">
        <v>39</v>
      </c>
      <c r="C24" s="201"/>
      <c r="D24" s="201"/>
      <c r="E24" s="79">
        <f>IrrigFixedCostPerAcre</f>
        <v>5.2142857142857144</v>
      </c>
      <c r="F24" s="180">
        <f>IFERROR(E24/YieldPerAcre,"")</f>
        <v>2.0857142857142859</v>
      </c>
      <c r="G24" s="184">
        <f>IFERROR(E24*Planted_Acres,"")</f>
        <v>730</v>
      </c>
    </row>
    <row r="25" spans="2:13" x14ac:dyDescent="0.3">
      <c r="B25" s="202" t="s">
        <v>40</v>
      </c>
      <c r="C25" s="202"/>
      <c r="D25" s="202"/>
      <c r="E25" s="188">
        <f>E26</f>
        <v>285.71428571428572</v>
      </c>
      <c r="F25" s="188">
        <f t="shared" ref="F25:G25" si="3">F26</f>
        <v>114.28571428571429</v>
      </c>
      <c r="G25" s="188">
        <f t="shared" si="3"/>
        <v>40000</v>
      </c>
    </row>
    <row r="26" spans="2:13" x14ac:dyDescent="0.3">
      <c r="B26" s="201" t="s">
        <v>41</v>
      </c>
      <c r="C26" s="201"/>
      <c r="D26" s="201"/>
      <c r="E26" s="2">
        <f>FieldCostPerAcre</f>
        <v>285.71428571428572</v>
      </c>
      <c r="F26" s="180">
        <f>IFERROR(E26/YieldPerAcre,"")</f>
        <v>114.28571428571429</v>
      </c>
      <c r="G26" s="184">
        <f>E26*Planted_Acres</f>
        <v>40000</v>
      </c>
    </row>
    <row r="27" spans="2:13" x14ac:dyDescent="0.3">
      <c r="B27" s="202" t="s">
        <v>650</v>
      </c>
      <c r="C27" s="202"/>
      <c r="D27" s="202"/>
      <c r="E27" s="189">
        <f>E9+E15+E21+E25</f>
        <v>1315.1083938061604</v>
      </c>
      <c r="F27" s="189">
        <f t="shared" ref="F27:G27" si="4">F9+F15+F21+F25</f>
        <v>526.04335752246413</v>
      </c>
      <c r="G27" s="189">
        <f t="shared" si="4"/>
        <v>184115.17513286247</v>
      </c>
    </row>
    <row r="29" spans="2:13" x14ac:dyDescent="0.3">
      <c r="B29" s="3" t="s">
        <v>651</v>
      </c>
      <c r="E29" s="187" t="s">
        <v>646</v>
      </c>
      <c r="F29" s="187" t="s">
        <v>647</v>
      </c>
      <c r="G29" s="187" t="s">
        <v>648</v>
      </c>
    </row>
    <row r="30" spans="2:13" x14ac:dyDescent="0.3">
      <c r="B30" s="202" t="s">
        <v>42</v>
      </c>
      <c r="C30" s="202"/>
      <c r="D30" s="202"/>
      <c r="E30" s="188">
        <f>E31+E32</f>
        <v>1250</v>
      </c>
      <c r="F30" s="188">
        <f t="shared" ref="F30:G30" si="5">F31+F32</f>
        <v>500</v>
      </c>
      <c r="G30" s="188">
        <f t="shared" si="5"/>
        <v>175000</v>
      </c>
      <c r="M30" t="s">
        <v>649</v>
      </c>
    </row>
    <row r="31" spans="2:13" x14ac:dyDescent="0.3">
      <c r="B31" s="201" t="s">
        <v>45</v>
      </c>
      <c r="C31" s="201"/>
      <c r="D31" s="201"/>
      <c r="E31" s="2">
        <f>Marketing!C6</f>
        <v>1250</v>
      </c>
      <c r="F31" s="181">
        <f>IFERROR(E31/YieldPerAcre,"")</f>
        <v>500</v>
      </c>
      <c r="G31" s="185">
        <f>E31*Planted_Acres</f>
        <v>175000</v>
      </c>
    </row>
    <row r="32" spans="2:13" x14ac:dyDescent="0.3">
      <c r="B32" s="201" t="s">
        <v>46</v>
      </c>
      <c r="C32" s="201"/>
      <c r="D32" s="201"/>
      <c r="E32" s="2">
        <f>Marketing!D29</f>
        <v>0</v>
      </c>
      <c r="F32" s="181">
        <f>IFERROR(E32/YieldPerAcre,"")</f>
        <v>0</v>
      </c>
      <c r="G32" s="185">
        <f>E32*Planted_Acres</f>
        <v>0</v>
      </c>
    </row>
    <row r="33" spans="2:7" x14ac:dyDescent="0.3">
      <c r="B33" s="202" t="s">
        <v>652</v>
      </c>
      <c r="C33" s="202"/>
      <c r="D33" s="202"/>
      <c r="E33" s="188">
        <f>E34+E35</f>
        <v>90.974999999999994</v>
      </c>
      <c r="F33" s="188">
        <f t="shared" ref="F33:G33" si="6">F34+F35</f>
        <v>36.39</v>
      </c>
      <c r="G33" s="188">
        <f t="shared" si="6"/>
        <v>12736.5</v>
      </c>
    </row>
    <row r="34" spans="2:7" x14ac:dyDescent="0.3">
      <c r="B34" s="201" t="s">
        <v>47</v>
      </c>
      <c r="C34" s="201"/>
      <c r="D34" s="201"/>
      <c r="E34" s="2">
        <f>Marketing!D17</f>
        <v>71.375</v>
      </c>
      <c r="F34" s="181">
        <f>IFERROR(E34/YieldPerAcre,"")</f>
        <v>28.55</v>
      </c>
      <c r="G34" s="185">
        <f>E34*Planted_Acres</f>
        <v>9992.5</v>
      </c>
    </row>
    <row r="35" spans="2:7" x14ac:dyDescent="0.3">
      <c r="B35" s="201" t="s">
        <v>48</v>
      </c>
      <c r="C35" s="201"/>
      <c r="D35" s="201"/>
      <c r="E35" s="2">
        <f>Marketing!D23</f>
        <v>19.600000000000001</v>
      </c>
      <c r="F35" s="181">
        <f>IFERROR(E35/YieldPerAcre,"")</f>
        <v>7.8400000000000007</v>
      </c>
      <c r="G35" s="185">
        <f>E35*Planted_Acres</f>
        <v>2744</v>
      </c>
    </row>
    <row r="36" spans="2:7" x14ac:dyDescent="0.3">
      <c r="B36" s="199"/>
      <c r="C36" s="199"/>
      <c r="D36" s="199"/>
    </row>
    <row r="37" spans="2:7" x14ac:dyDescent="0.3">
      <c r="B37" s="198" t="s">
        <v>653</v>
      </c>
      <c r="C37" s="198"/>
      <c r="D37" s="198"/>
      <c r="E37" s="187" t="s">
        <v>646</v>
      </c>
      <c r="F37" s="187" t="s">
        <v>647</v>
      </c>
      <c r="G37" s="187" t="s">
        <v>648</v>
      </c>
    </row>
    <row r="38" spans="2:7" x14ac:dyDescent="0.3">
      <c r="B38" s="201" t="s">
        <v>49</v>
      </c>
      <c r="C38" s="201"/>
      <c r="D38" s="201"/>
      <c r="E38" s="190">
        <f>E30-E33</f>
        <v>1159.0250000000001</v>
      </c>
      <c r="F38" s="183">
        <f>IFERROR(F30-F33,"")</f>
        <v>463.61</v>
      </c>
      <c r="G38" s="186">
        <f>G30-G33</f>
        <v>162263.5</v>
      </c>
    </row>
    <row r="39" spans="2:7" ht="15" thickBot="1" x14ac:dyDescent="0.35">
      <c r="B39" s="204" t="s">
        <v>654</v>
      </c>
      <c r="C39" s="204"/>
      <c r="D39" s="204"/>
      <c r="E39" s="194">
        <f>SUM(E10:E14)+SUM(E16:E20)</f>
        <v>833.67001926136652</v>
      </c>
      <c r="F39" s="182">
        <f>SUM(F10:F14)+SUM(F16:F20)</f>
        <v>333.46800770454661</v>
      </c>
      <c r="G39" s="195">
        <f>SUM(G10:G14)+SUM(G16:G20)</f>
        <v>116713.80269659133</v>
      </c>
    </row>
    <row r="40" spans="2:7" x14ac:dyDescent="0.3">
      <c r="B40" s="205" t="s">
        <v>50</v>
      </c>
      <c r="C40" s="205"/>
      <c r="D40" s="205"/>
      <c r="E40" s="191">
        <f>E38-E39</f>
        <v>325.35498073863357</v>
      </c>
      <c r="F40" s="192">
        <f>IFERROR(F38-F39,"")</f>
        <v>130.14199229545341</v>
      </c>
      <c r="G40" s="193">
        <f>G38-G39</f>
        <v>45549.69730340867</v>
      </c>
    </row>
    <row r="41" spans="2:7" x14ac:dyDescent="0.3">
      <c r="B41" s="201" t="s">
        <v>655</v>
      </c>
      <c r="C41" s="201"/>
      <c r="D41" s="201"/>
      <c r="E41" s="190">
        <f>E21</f>
        <v>195.72408883050804</v>
      </c>
      <c r="F41" s="190">
        <f t="shared" ref="F41:G41" si="7">F21</f>
        <v>78.289635532203206</v>
      </c>
      <c r="G41" s="190">
        <f t="shared" si="7"/>
        <v>27401.372436271122</v>
      </c>
    </row>
    <row r="42" spans="2:7" ht="15" thickBot="1" x14ac:dyDescent="0.35">
      <c r="B42" s="204" t="s">
        <v>51</v>
      </c>
      <c r="C42" s="204"/>
      <c r="D42" s="204"/>
      <c r="E42" s="194">
        <f>E40-E41</f>
        <v>129.63089190812553</v>
      </c>
      <c r="F42" s="182">
        <f>IFERROR(F40-F41,"")</f>
        <v>51.852356763250199</v>
      </c>
      <c r="G42" s="195">
        <f>G40-G41</f>
        <v>18148.324867137548</v>
      </c>
    </row>
    <row r="43" spans="2:7" x14ac:dyDescent="0.3">
      <c r="B43" s="205" t="s">
        <v>656</v>
      </c>
      <c r="C43" s="205"/>
      <c r="D43" s="205"/>
      <c r="E43" s="191">
        <f>E42-E25</f>
        <v>-156.08339380616019</v>
      </c>
      <c r="F43" s="192">
        <f>IFERROR(F42-F25,"")</f>
        <v>-62.433357522464092</v>
      </c>
      <c r="G43" s="193">
        <f>G42-G25</f>
        <v>-21851.675132862452</v>
      </c>
    </row>
    <row r="45" spans="2:7" x14ac:dyDescent="0.3">
      <c r="B45" s="202" t="s">
        <v>52</v>
      </c>
      <c r="C45" s="202"/>
      <c r="D45" s="202"/>
      <c r="E45" s="202"/>
      <c r="F45" s="202"/>
      <c r="G45" s="202"/>
    </row>
    <row r="46" spans="2:7" x14ac:dyDescent="0.3">
      <c r="B46" s="240"/>
      <c r="C46" s="241" t="s">
        <v>53</v>
      </c>
      <c r="D46" s="242"/>
      <c r="E46" s="242"/>
      <c r="F46" s="242"/>
      <c r="G46" s="242"/>
    </row>
    <row r="47" spans="2:7" ht="15" thickBot="1" x14ac:dyDescent="0.35">
      <c r="B47" s="83" t="s">
        <v>22</v>
      </c>
      <c r="C47" s="244">
        <f>E47*0.8</f>
        <v>400</v>
      </c>
      <c r="D47" s="245">
        <f>E47*0.9</f>
        <v>450</v>
      </c>
      <c r="E47" s="245">
        <f>Marketing!C5</f>
        <v>500</v>
      </c>
      <c r="F47" s="245">
        <f>E47*1.1</f>
        <v>550</v>
      </c>
      <c r="G47" s="245">
        <f>E47*1.2</f>
        <v>600</v>
      </c>
    </row>
    <row r="48" spans="2:7" x14ac:dyDescent="0.3">
      <c r="B48" s="176">
        <f>B50*1.2</f>
        <v>3</v>
      </c>
      <c r="C48" s="243">
        <f t="shared" ref="C48:G52" si="8">IFERROR(($B48*(C$47-$F$34))+$E$32-$E$35-$E$27,"")</f>
        <v>-220.35839380616039</v>
      </c>
      <c r="D48" s="243">
        <f t="shared" si="8"/>
        <v>-70.358393806160393</v>
      </c>
      <c r="E48" s="243">
        <f t="shared" si="8"/>
        <v>79.641606193839607</v>
      </c>
      <c r="F48" s="243">
        <f t="shared" si="8"/>
        <v>229.64160619383983</v>
      </c>
      <c r="G48" s="243">
        <f t="shared" si="8"/>
        <v>379.64160619383983</v>
      </c>
    </row>
    <row r="49" spans="2:7" x14ac:dyDescent="0.3">
      <c r="B49" s="176">
        <f>B50*1.1</f>
        <v>2.75</v>
      </c>
      <c r="C49" s="82">
        <f t="shared" si="8"/>
        <v>-313.22089380616046</v>
      </c>
      <c r="D49" s="82">
        <f t="shared" si="8"/>
        <v>-175.72089380616035</v>
      </c>
      <c r="E49" s="82">
        <f t="shared" si="8"/>
        <v>-38.220893806160348</v>
      </c>
      <c r="F49" s="82">
        <f t="shared" si="8"/>
        <v>99.27910619383988</v>
      </c>
      <c r="G49" s="82">
        <f t="shared" si="8"/>
        <v>236.77910619383988</v>
      </c>
    </row>
    <row r="50" spans="2:7" x14ac:dyDescent="0.3">
      <c r="B50" s="176">
        <f>Marketing!C4</f>
        <v>2.5</v>
      </c>
      <c r="C50" s="82">
        <f t="shared" si="8"/>
        <v>-406.08339380616042</v>
      </c>
      <c r="D50" s="82">
        <f t="shared" si="8"/>
        <v>-281.0833938061603</v>
      </c>
      <c r="E50" s="82">
        <f t="shared" si="8"/>
        <v>-156.0833938061603</v>
      </c>
      <c r="F50" s="82">
        <f t="shared" si="8"/>
        <v>-31.083393806160302</v>
      </c>
      <c r="G50" s="82">
        <f t="shared" si="8"/>
        <v>93.916606193839698</v>
      </c>
    </row>
    <row r="51" spans="2:7" x14ac:dyDescent="0.3">
      <c r="B51" s="176">
        <f>B50*0.9</f>
        <v>2.25</v>
      </c>
      <c r="C51" s="82">
        <f t="shared" si="8"/>
        <v>-498.94589380616048</v>
      </c>
      <c r="D51" s="82">
        <f t="shared" si="8"/>
        <v>-386.44589380616048</v>
      </c>
      <c r="E51" s="82">
        <f t="shared" si="8"/>
        <v>-273.94589380616026</v>
      </c>
      <c r="F51" s="82">
        <f t="shared" si="8"/>
        <v>-161.44589380616026</v>
      </c>
      <c r="G51" s="82">
        <f t="shared" si="8"/>
        <v>-48.945893806160257</v>
      </c>
    </row>
    <row r="52" spans="2:7" x14ac:dyDescent="0.3">
      <c r="B52" s="176">
        <f>B50*0.8</f>
        <v>2</v>
      </c>
      <c r="C52" s="82">
        <f t="shared" si="8"/>
        <v>-591.80839380616044</v>
      </c>
      <c r="D52" s="82">
        <f t="shared" si="8"/>
        <v>-491.80839380616044</v>
      </c>
      <c r="E52" s="82">
        <f t="shared" si="8"/>
        <v>-391.80839380616044</v>
      </c>
      <c r="F52" s="82">
        <f t="shared" si="8"/>
        <v>-291.80839380616032</v>
      </c>
      <c r="G52" s="82">
        <f t="shared" si="8"/>
        <v>-191.80839380616021</v>
      </c>
    </row>
    <row r="54" spans="2:7" x14ac:dyDescent="0.3">
      <c r="B54" s="202" t="s">
        <v>54</v>
      </c>
      <c r="C54" s="202"/>
      <c r="D54" s="202"/>
      <c r="E54" s="202"/>
      <c r="F54" s="202"/>
      <c r="G54" s="202"/>
    </row>
    <row r="55" spans="2:7" x14ac:dyDescent="0.3">
      <c r="B55" s="203" t="str">
        <f>BudgetDescription</f>
        <v>This sample budget contains estimates of costs and returns for growing runner-type peanuts under irrigation in the Suwannee Valley in 2025. Estimates are based on information from input suppliers, equipment manufacturers, price reports, crop specialists, and extension agents. The budget is for a single field on a hypothetical farm growing 1,000 acres of peanuts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v>
      </c>
      <c r="C55" s="203"/>
      <c r="D55" s="203"/>
      <c r="E55" s="203"/>
      <c r="F55" s="203"/>
      <c r="G55" s="203"/>
    </row>
    <row r="56" spans="2:7" x14ac:dyDescent="0.3">
      <c r="B56" s="203"/>
      <c r="C56" s="203"/>
      <c r="D56" s="203"/>
      <c r="E56" s="203"/>
      <c r="F56" s="203"/>
      <c r="G56" s="203"/>
    </row>
    <row r="57" spans="2:7" x14ac:dyDescent="0.3">
      <c r="B57" s="203"/>
      <c r="C57" s="203"/>
      <c r="D57" s="203"/>
      <c r="E57" s="203"/>
      <c r="F57" s="203"/>
      <c r="G57" s="203"/>
    </row>
    <row r="58" spans="2:7" x14ac:dyDescent="0.3">
      <c r="B58" s="203"/>
      <c r="C58" s="203"/>
      <c r="D58" s="203"/>
      <c r="E58" s="203"/>
      <c r="F58" s="203"/>
      <c r="G58" s="203"/>
    </row>
    <row r="59" spans="2:7" x14ac:dyDescent="0.3">
      <c r="B59" s="203"/>
      <c r="C59" s="203"/>
      <c r="D59" s="203"/>
      <c r="E59" s="203"/>
      <c r="F59" s="203"/>
      <c r="G59" s="203"/>
    </row>
    <row r="60" spans="2:7" x14ac:dyDescent="0.3">
      <c r="B60" s="203"/>
      <c r="C60" s="203"/>
      <c r="D60" s="203"/>
      <c r="E60" s="203"/>
      <c r="F60" s="203"/>
      <c r="G60" s="203"/>
    </row>
    <row r="62" spans="2:7" x14ac:dyDescent="0.3">
      <c r="B62" s="202" t="s">
        <v>6</v>
      </c>
      <c r="C62" s="202"/>
      <c r="D62" s="202"/>
      <c r="E62" s="202"/>
      <c r="F62" s="202"/>
      <c r="G62" s="202"/>
    </row>
    <row r="63" spans="2:7" x14ac:dyDescent="0.3">
      <c r="B63" s="203" t="str">
        <f>Acknowledgments</f>
        <v>This sample budget was prepared by Kevin Athearn, Amanda Phillips, Barry Tillman, Keith Wynn, Nicholas Dufault, Ian Small, Joel Love, Shivendra Kumar, Jay Capasso, Zane Grabau, Isaac Esquivel, Ednaldo Borgato, Mark Warren, Emily Beach, Ethan Carter, and Mark Mauldin. We would like to thank the ag input suppliers and equipment manufacturers who provided cost quotes, as well as the farmers and consultants who reviewed and provided feedback on earlier drafts of this budget.</v>
      </c>
      <c r="C63" s="203"/>
      <c r="D63" s="203"/>
      <c r="E63" s="203"/>
      <c r="F63" s="203"/>
      <c r="G63" s="203"/>
    </row>
    <row r="64" spans="2:7" x14ac:dyDescent="0.3">
      <c r="B64" s="203"/>
      <c r="C64" s="203"/>
      <c r="D64" s="203"/>
      <c r="E64" s="203"/>
      <c r="F64" s="203"/>
      <c r="G64" s="203"/>
    </row>
    <row r="65" spans="2:7" x14ac:dyDescent="0.3">
      <c r="B65" s="203"/>
      <c r="C65" s="203"/>
      <c r="D65" s="203"/>
      <c r="E65" s="203"/>
      <c r="F65" s="203"/>
      <c r="G65" s="203"/>
    </row>
    <row r="66" spans="2:7" x14ac:dyDescent="0.3">
      <c r="B66" s="203"/>
      <c r="C66" s="203"/>
      <c r="D66" s="203"/>
      <c r="E66" s="203"/>
      <c r="F66" s="203"/>
      <c r="G66" s="203"/>
    </row>
    <row r="67" spans="2:7" x14ac:dyDescent="0.3">
      <c r="B67" s="203"/>
      <c r="C67" s="203"/>
      <c r="D67" s="203"/>
      <c r="E67" s="203"/>
      <c r="F67" s="203"/>
      <c r="G67" s="203"/>
    </row>
    <row r="68" spans="2:7" x14ac:dyDescent="0.3">
      <c r="B68" s="203"/>
      <c r="C68" s="203"/>
      <c r="D68" s="203"/>
      <c r="E68" s="203"/>
      <c r="F68" s="203"/>
      <c r="G68" s="203"/>
    </row>
  </sheetData>
  <sheetProtection algorithmName="SHA-512" hashValue="jLzFOG0toZS8DJagj1uJS6FDC8pjAbA910jAZUoMoGX3R6AUsuX/LLNC9xDL37Z0QFl8t9tidiP5SRZdziOBKA==" saltValue="6Zs/WaW66oh5tqu+okhtDQ==" spinCount="100000" sheet="1" objects="1" scenarios="1"/>
  <mergeCells count="50">
    <mergeCell ref="B8:D8"/>
    <mergeCell ref="B42:D42"/>
    <mergeCell ref="B43:D43"/>
    <mergeCell ref="B38:D38"/>
    <mergeCell ref="B2:G2"/>
    <mergeCell ref="B3:G3"/>
    <mergeCell ref="B4:G4"/>
    <mergeCell ref="B5:C5"/>
    <mergeCell ref="B6:C6"/>
    <mergeCell ref="B36:D36"/>
    <mergeCell ref="B37:D37"/>
    <mergeCell ref="B39:D39"/>
    <mergeCell ref="B41:D41"/>
    <mergeCell ref="B40:D40"/>
    <mergeCell ref="B9:D9"/>
    <mergeCell ref="B10:D10"/>
    <mergeCell ref="B11:D11"/>
    <mergeCell ref="B63:G68"/>
    <mergeCell ref="B55:G60"/>
    <mergeCell ref="B45:G45"/>
    <mergeCell ref="B1:G1"/>
    <mergeCell ref="B54:G54"/>
    <mergeCell ref="B62:G62"/>
    <mergeCell ref="C46:G46"/>
    <mergeCell ref="D5:E5"/>
    <mergeCell ref="D6:E6"/>
    <mergeCell ref="D7:E7"/>
    <mergeCell ref="B7:C7"/>
    <mergeCell ref="B24:D24"/>
    <mergeCell ref="B25:D25"/>
    <mergeCell ref="B33:D33"/>
    <mergeCell ref="B34:D34"/>
    <mergeCell ref="B35:D35"/>
    <mergeCell ref="B12:D12"/>
    <mergeCell ref="B13:D13"/>
    <mergeCell ref="B14:D14"/>
    <mergeCell ref="B15:D15"/>
    <mergeCell ref="B16:D16"/>
    <mergeCell ref="B17:D17"/>
    <mergeCell ref="B18:D18"/>
    <mergeCell ref="B19:D19"/>
    <mergeCell ref="B20:D20"/>
    <mergeCell ref="B21:D21"/>
    <mergeCell ref="B31:D31"/>
    <mergeCell ref="B32:D32"/>
    <mergeCell ref="B22:D22"/>
    <mergeCell ref="B23:D23"/>
    <mergeCell ref="B26:D26"/>
    <mergeCell ref="B27:D27"/>
    <mergeCell ref="B30:D3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3346F-A564-4FC4-A2CD-9D1E53BF6F22}">
  <sheetPr>
    <tabColor rgb="FF003087"/>
  </sheetPr>
  <dimension ref="B1:D32"/>
  <sheetViews>
    <sheetView workbookViewId="0"/>
  </sheetViews>
  <sheetFormatPr defaultColWidth="8.88671875" defaultRowHeight="14.4" x14ac:dyDescent="0.3"/>
  <cols>
    <col min="1" max="1" width="4.6640625" style="17" customWidth="1"/>
    <col min="2" max="2" width="47.6640625" style="17" customWidth="1"/>
    <col min="3" max="4" width="18.6640625" style="17" customWidth="1"/>
    <col min="5" max="6" width="4.6640625" style="17" customWidth="1"/>
    <col min="7" max="16384" width="8.88671875" style="17"/>
  </cols>
  <sheetData>
    <row r="1" spans="2:4" ht="18.600000000000001" thickBot="1" x14ac:dyDescent="0.4">
      <c r="B1" s="208" t="s">
        <v>55</v>
      </c>
      <c r="C1" s="208"/>
      <c r="D1" s="208"/>
    </row>
    <row r="3" spans="2:4" x14ac:dyDescent="0.3">
      <c r="B3" s="202" t="s">
        <v>56</v>
      </c>
      <c r="C3" s="202"/>
    </row>
    <row r="4" spans="2:4" x14ac:dyDescent="0.3">
      <c r="B4" s="16" t="s">
        <v>57</v>
      </c>
      <c r="C4" s="111">
        <v>2.5</v>
      </c>
    </row>
    <row r="5" spans="2:4" x14ac:dyDescent="0.3">
      <c r="B5" s="16" t="s">
        <v>58</v>
      </c>
      <c r="C5" s="116">
        <v>500</v>
      </c>
    </row>
    <row r="6" spans="2:4" x14ac:dyDescent="0.3">
      <c r="B6" s="16" t="s">
        <v>59</v>
      </c>
      <c r="C6" s="54">
        <f>C4*C5</f>
        <v>1250</v>
      </c>
    </row>
    <row r="8" spans="2:4" x14ac:dyDescent="0.3">
      <c r="B8" s="7" t="s">
        <v>60</v>
      </c>
      <c r="C8" s="8" t="s">
        <v>25</v>
      </c>
      <c r="D8" s="8" t="s">
        <v>24</v>
      </c>
    </row>
    <row r="9" spans="2:4" x14ac:dyDescent="0.3">
      <c r="B9" s="16" t="s">
        <v>61</v>
      </c>
      <c r="C9" s="87"/>
      <c r="D9" s="50">
        <f t="shared" ref="D9:D15" si="0">C9*YieldPerAcre</f>
        <v>0</v>
      </c>
    </row>
    <row r="10" spans="2:4" x14ac:dyDescent="0.3">
      <c r="B10" s="16" t="s">
        <v>62</v>
      </c>
      <c r="C10" s="87"/>
      <c r="D10" s="50">
        <f t="shared" si="0"/>
        <v>0</v>
      </c>
    </row>
    <row r="11" spans="2:4" x14ac:dyDescent="0.3">
      <c r="B11" s="16" t="s">
        <v>63</v>
      </c>
      <c r="C11" s="87">
        <v>25</v>
      </c>
      <c r="D11" s="50">
        <f t="shared" si="0"/>
        <v>62.5</v>
      </c>
    </row>
    <row r="12" spans="2:4" x14ac:dyDescent="0.3">
      <c r="B12" s="16" t="s">
        <v>64</v>
      </c>
      <c r="C12" s="87"/>
      <c r="D12" s="50">
        <f t="shared" si="0"/>
        <v>0</v>
      </c>
    </row>
    <row r="13" spans="2:4" x14ac:dyDescent="0.3">
      <c r="B13" s="16" t="s">
        <v>65</v>
      </c>
      <c r="C13" s="87">
        <v>3.55</v>
      </c>
      <c r="D13" s="50">
        <f t="shared" si="0"/>
        <v>8.875</v>
      </c>
    </row>
    <row r="14" spans="2:4" x14ac:dyDescent="0.3">
      <c r="B14" s="16" t="s">
        <v>66</v>
      </c>
      <c r="C14" s="87"/>
      <c r="D14" s="50">
        <f t="shared" si="0"/>
        <v>0</v>
      </c>
    </row>
    <row r="15" spans="2:4" x14ac:dyDescent="0.3">
      <c r="B15" s="16" t="s">
        <v>67</v>
      </c>
      <c r="C15" s="87"/>
      <c r="D15" s="50">
        <f t="shared" si="0"/>
        <v>0</v>
      </c>
    </row>
    <row r="16" spans="2:4" x14ac:dyDescent="0.3">
      <c r="B16" s="16" t="s">
        <v>68</v>
      </c>
      <c r="C16" s="87"/>
      <c r="D16" s="50">
        <f>C16*YieldPerAcre</f>
        <v>0</v>
      </c>
    </row>
    <row r="17" spans="2:4" x14ac:dyDescent="0.3">
      <c r="B17" s="10" t="s">
        <v>69</v>
      </c>
      <c r="C17" s="167">
        <f>SUM(C9:C16)</f>
        <v>28.55</v>
      </c>
      <c r="D17" s="167">
        <f>SUM(D9:D16)</f>
        <v>71.375</v>
      </c>
    </row>
    <row r="18" spans="2:4" x14ac:dyDescent="0.3">
      <c r="C18" s="19"/>
    </row>
    <row r="19" spans="2:4" x14ac:dyDescent="0.3">
      <c r="B19" s="80"/>
      <c r="C19" s="8" t="s">
        <v>44</v>
      </c>
      <c r="D19" s="8" t="s">
        <v>43</v>
      </c>
    </row>
    <row r="20" spans="2:4" x14ac:dyDescent="0.3">
      <c r="B20" s="10" t="s">
        <v>70</v>
      </c>
      <c r="C20" s="167">
        <f>C5-C17</f>
        <v>471.45</v>
      </c>
      <c r="D20" s="167">
        <f>C6-D17</f>
        <v>1178.625</v>
      </c>
    </row>
    <row r="21" spans="2:4" x14ac:dyDescent="0.3">
      <c r="C21" s="19"/>
      <c r="D21" s="19"/>
    </row>
    <row r="22" spans="2:4" x14ac:dyDescent="0.3">
      <c r="B22" s="7"/>
      <c r="C22" s="8" t="s">
        <v>25</v>
      </c>
      <c r="D22" s="8" t="s">
        <v>24</v>
      </c>
    </row>
    <row r="23" spans="2:4" x14ac:dyDescent="0.3">
      <c r="B23" s="16" t="s">
        <v>48</v>
      </c>
      <c r="C23" s="78">
        <f>IFERROR(D23/YieldPerAcre,"")</f>
        <v>7.8400000000000007</v>
      </c>
      <c r="D23" s="87">
        <v>19.600000000000001</v>
      </c>
    </row>
    <row r="24" spans="2:4" x14ac:dyDescent="0.3">
      <c r="C24" s="19"/>
      <c r="D24" s="19"/>
    </row>
    <row r="25" spans="2:4" x14ac:dyDescent="0.3">
      <c r="B25" s="7" t="s">
        <v>71</v>
      </c>
      <c r="C25" s="8" t="s">
        <v>44</v>
      </c>
      <c r="D25" s="8" t="s">
        <v>43</v>
      </c>
    </row>
    <row r="26" spans="2:4" x14ac:dyDescent="0.3">
      <c r="B26" s="23" t="s">
        <v>72</v>
      </c>
      <c r="C26" s="170">
        <f>IFERROR(D26/YieldPerAcre,"")</f>
        <v>0</v>
      </c>
      <c r="D26" s="89"/>
    </row>
    <row r="27" spans="2:4" x14ac:dyDescent="0.3">
      <c r="B27" s="16" t="s">
        <v>73</v>
      </c>
      <c r="C27" s="171">
        <f>IFERROR(D27/YieldPerAcre,"")</f>
        <v>0</v>
      </c>
      <c r="D27" s="87"/>
    </row>
    <row r="28" spans="2:4" x14ac:dyDescent="0.3">
      <c r="B28" s="16" t="s">
        <v>74</v>
      </c>
      <c r="C28" s="171">
        <f>IFERROR(D28/YieldPerAcre,"")</f>
        <v>0</v>
      </c>
      <c r="D28" s="87"/>
    </row>
    <row r="29" spans="2:4" x14ac:dyDescent="0.3">
      <c r="B29" s="10" t="s">
        <v>69</v>
      </c>
      <c r="C29" s="167">
        <f>SUM(C26:C28)</f>
        <v>0</v>
      </c>
      <c r="D29" s="167">
        <f>SUM(D26:D28)</f>
        <v>0</v>
      </c>
    </row>
    <row r="31" spans="2:4" x14ac:dyDescent="0.3">
      <c r="B31" s="7"/>
      <c r="C31" s="8" t="s">
        <v>44</v>
      </c>
      <c r="D31" s="8" t="s">
        <v>43</v>
      </c>
    </row>
    <row r="32" spans="2:4" x14ac:dyDescent="0.3">
      <c r="B32" s="10" t="s">
        <v>75</v>
      </c>
      <c r="C32" s="77">
        <f>IFERROR(C20-C23+C29,"")</f>
        <v>463.61</v>
      </c>
      <c r="D32" s="77">
        <f>D20-D23+D29</f>
        <v>1159.0250000000001</v>
      </c>
    </row>
  </sheetData>
  <sheetProtection algorithmName="SHA-512" hashValue="MGuVPf0rfD15fRhHj5H9/+OsHWEEmC2WqQp6znsLWSPnIma4DISqMyopIW0KKTHAvJZHAk+ErJ9I0vvoZouluQ==" saltValue="6af/irpFkZKjKWk3qMy7vg==" spinCount="100000" sheet="1" objects="1" scenarios="1"/>
  <mergeCells count="2">
    <mergeCell ref="B1:D1"/>
    <mergeCell ref="B3:C3"/>
  </mergeCells>
  <pageMargins left="0.7" right="0.7" top="0.75" bottom="0.75" header="0.3" footer="0.3"/>
  <pageSetup orientation="portrait" r:id="rId1"/>
  <ignoredErrors>
    <ignoredError sqref="C6 D16 D9:D12 C26:C2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649C9-B7F9-41B2-9E93-147AF93A44BF}">
  <sheetPr>
    <tabColor rgb="FF003087"/>
  </sheetPr>
  <dimension ref="B1:G89"/>
  <sheetViews>
    <sheetView showGridLines="0" workbookViewId="0"/>
  </sheetViews>
  <sheetFormatPr defaultColWidth="8.88671875" defaultRowHeight="14.4" x14ac:dyDescent="0.3"/>
  <cols>
    <col min="1" max="1" width="4.6640625" style="17" customWidth="1"/>
    <col min="2" max="2" width="32.6640625" style="17" customWidth="1"/>
    <col min="3" max="3" width="30.6640625" style="17" customWidth="1"/>
    <col min="4" max="7" width="12.6640625" style="17" customWidth="1"/>
    <col min="8" max="16384" width="8.88671875" style="17"/>
  </cols>
  <sheetData>
    <row r="1" spans="2:7" ht="18.600000000000001" thickBot="1" x14ac:dyDescent="0.4">
      <c r="B1" s="208" t="s">
        <v>76</v>
      </c>
      <c r="C1" s="208"/>
      <c r="D1" s="208"/>
      <c r="E1" s="208"/>
      <c r="F1" s="208"/>
      <c r="G1" s="208"/>
    </row>
    <row r="3" spans="2:7" ht="28.8" x14ac:dyDescent="0.3">
      <c r="B3" s="7" t="s">
        <v>77</v>
      </c>
      <c r="C3" s="58" t="s">
        <v>78</v>
      </c>
      <c r="D3" s="175" t="s">
        <v>79</v>
      </c>
      <c r="E3" s="34" t="s">
        <v>127</v>
      </c>
      <c r="F3" s="34" t="s">
        <v>128</v>
      </c>
      <c r="G3" s="34" t="s">
        <v>81</v>
      </c>
    </row>
    <row r="4" spans="2:7" x14ac:dyDescent="0.3">
      <c r="B4" s="84" t="s">
        <v>225</v>
      </c>
      <c r="C4" s="90" t="str">
        <f>IFERROR(VLOOKUP($B4,SeedTable[],2,FALSE),"")</f>
        <v>Certified</v>
      </c>
      <c r="D4" s="91" t="str">
        <f>IFERROR(VLOOKUP($B4,SeedTable[],5,FALSE),"")</f>
        <v>lb</v>
      </c>
      <c r="E4" s="88">
        <f>IFERROR(VLOOKUP($B4,SeedTable[],7,FALSE),"")</f>
        <v>0.88</v>
      </c>
      <c r="F4" s="84">
        <v>150</v>
      </c>
      <c r="G4" s="50">
        <f>IFERROR(E4*F4,"")</f>
        <v>132</v>
      </c>
    </row>
    <row r="5" spans="2:7" x14ac:dyDescent="0.3">
      <c r="B5" s="84"/>
      <c r="C5" s="90" t="str">
        <f>IFERROR(VLOOKUP($B5,SeedTable[],2,FALSE),"")</f>
        <v/>
      </c>
      <c r="D5" s="91" t="str">
        <f>IFERROR(VLOOKUP($B5,SeedTable[],5,FALSE),"")</f>
        <v/>
      </c>
      <c r="E5" s="88" t="str">
        <f>IFERROR(VLOOKUP($B5,SeedTable[],7,FALSE),"")</f>
        <v/>
      </c>
      <c r="F5" s="84"/>
      <c r="G5" s="50" t="str">
        <f t="shared" ref="G5:G6" si="0">IFERROR(E5*F5,"")</f>
        <v/>
      </c>
    </row>
    <row r="6" spans="2:7" x14ac:dyDescent="0.3">
      <c r="B6" s="84"/>
      <c r="C6" s="90" t="str">
        <f>IFERROR(VLOOKUP($B6,SeedTable[],2,FALSE),"")</f>
        <v/>
      </c>
      <c r="D6" s="91" t="str">
        <f>IFERROR(VLOOKUP($B6,SeedTable[],5,FALSE),"")</f>
        <v/>
      </c>
      <c r="E6" s="88" t="str">
        <f>IFERROR(VLOOKUP($B6,SeedTable[],7,FALSE),"")</f>
        <v/>
      </c>
      <c r="F6" s="84"/>
      <c r="G6" s="50" t="str">
        <f t="shared" si="0"/>
        <v/>
      </c>
    </row>
    <row r="7" spans="2:7" x14ac:dyDescent="0.3">
      <c r="B7" s="209" t="s">
        <v>69</v>
      </c>
      <c r="C7" s="210"/>
      <c r="D7" s="210"/>
      <c r="E7" s="210"/>
      <c r="F7" s="210"/>
      <c r="G7" s="77">
        <f>SUM(G4:G6)</f>
        <v>132</v>
      </c>
    </row>
    <row r="9" spans="2:7" ht="28.8" x14ac:dyDescent="0.3">
      <c r="B9" s="7" t="s">
        <v>82</v>
      </c>
      <c r="C9" s="7" t="s">
        <v>78</v>
      </c>
      <c r="D9" s="175" t="s">
        <v>79</v>
      </c>
      <c r="E9" s="34" t="s">
        <v>127</v>
      </c>
      <c r="F9" s="34" t="s">
        <v>128</v>
      </c>
      <c r="G9" s="34" t="s">
        <v>81</v>
      </c>
    </row>
    <row r="10" spans="2:7" x14ac:dyDescent="0.3">
      <c r="B10" s="84" t="s">
        <v>257</v>
      </c>
      <c r="C10" s="90" t="str">
        <f>IFERROR(VLOOKUP($B10,FertilizerTable[],2,FALSE),"")</f>
        <v>lime</v>
      </c>
      <c r="D10" s="91" t="str">
        <f>IFERROR(VLOOKUP($B10,FertilizerTable[],5,FALSE),"")</f>
        <v>ton</v>
      </c>
      <c r="E10" s="88">
        <f>IFERROR(VLOOKUP($B10,FertilizerTable[],7,FALSE),"")</f>
        <v>33.25</v>
      </c>
      <c r="F10" s="84">
        <v>0.4</v>
      </c>
      <c r="G10" s="50">
        <f t="shared" ref="G10:G21" si="1">IFERROR(E10*F10,"")</f>
        <v>13.3</v>
      </c>
    </row>
    <row r="11" spans="2:7" x14ac:dyDescent="0.3">
      <c r="B11" s="84" t="s">
        <v>266</v>
      </c>
      <c r="C11" s="90" t="str">
        <f>IFERROR(VLOOKUP($B11,FertilizerTable[],2,FALSE),"")</f>
        <v>dry fertilizer</v>
      </c>
      <c r="D11" s="91" t="str">
        <f>IFERROR(VLOOKUP($B11,FertilizerTable[],5,FALSE),"")</f>
        <v>ton</v>
      </c>
      <c r="E11" s="88">
        <f>IFERROR(VLOOKUP($B11,FertilizerTable[],7,FALSE),"")</f>
        <v>63.33</v>
      </c>
      <c r="F11" s="84">
        <v>0.7</v>
      </c>
      <c r="G11" s="50">
        <f t="shared" si="1"/>
        <v>44.330999999999996</v>
      </c>
    </row>
    <row r="12" spans="2:7" x14ac:dyDescent="0.3">
      <c r="B12" s="84" t="s">
        <v>263</v>
      </c>
      <c r="C12" s="90" t="str">
        <f>IFERROR(VLOOKUP($B12,FertilizerTable[],2,FALSE),"")</f>
        <v>dry fertilizer</v>
      </c>
      <c r="D12" s="91" t="str">
        <f>IFERROR(VLOOKUP($B12,FertilizerTable[],5,FALSE),"")</f>
        <v>lb</v>
      </c>
      <c r="E12" s="88">
        <f>IFERROR(VLOOKUP($B12,FertilizerTable[],7,FALSE),"")</f>
        <v>0.28100000000000003</v>
      </c>
      <c r="F12" s="84">
        <v>250</v>
      </c>
      <c r="G12" s="50">
        <f t="shared" si="1"/>
        <v>70.25</v>
      </c>
    </row>
    <row r="13" spans="2:7" x14ac:dyDescent="0.3">
      <c r="B13" s="84" t="s">
        <v>276</v>
      </c>
      <c r="C13" s="90" t="str">
        <f>IFERROR(VLOOKUP($B13,FertilizerTable[],2,FALSE),"")</f>
        <v>dry fertilizer</v>
      </c>
      <c r="D13" s="91" t="str">
        <f>IFERROR(VLOOKUP($B13,FertilizerTable[],5,FALSE),"")</f>
        <v>lb</v>
      </c>
      <c r="E13" s="88">
        <f>IFERROR(VLOOKUP($B13,FertilizerTable[],7,FALSE),"")</f>
        <v>0.21</v>
      </c>
      <c r="F13" s="84">
        <v>100</v>
      </c>
      <c r="G13" s="50">
        <f t="shared" si="1"/>
        <v>21</v>
      </c>
    </row>
    <row r="14" spans="2:7" x14ac:dyDescent="0.3">
      <c r="B14" s="84" t="s">
        <v>267</v>
      </c>
      <c r="C14" s="90" t="str">
        <f>IFERROR(VLOOKUP($B14,FertilizerTable[],2,FALSE),"")</f>
        <v>dry fertilizer</v>
      </c>
      <c r="D14" s="91" t="str">
        <f>IFERROR(VLOOKUP($B14,FertilizerTable[],5,FALSE),"")</f>
        <v>lb</v>
      </c>
      <c r="E14" s="88">
        <f>IFERROR(VLOOKUP($B14,FertilizerTable[],7,FALSE),"")</f>
        <v>0.25650000000000001</v>
      </c>
      <c r="F14" s="84">
        <v>45</v>
      </c>
      <c r="G14" s="50">
        <f t="shared" si="1"/>
        <v>11.5425</v>
      </c>
    </row>
    <row r="15" spans="2:7" x14ac:dyDescent="0.3">
      <c r="B15" s="84" t="s">
        <v>273</v>
      </c>
      <c r="C15" s="90" t="str">
        <f>IFERROR(VLOOKUP($B15,FertilizerTable[],2,FALSE),"")</f>
        <v>dry fertilizer</v>
      </c>
      <c r="D15" s="91" t="str">
        <f>IFERROR(VLOOKUP($B15,FertilizerTable[],5,FALSE),"")</f>
        <v>lb</v>
      </c>
      <c r="E15" s="88">
        <f>IFERROR(VLOOKUP($B15,FertilizerTable[],7,FALSE),"")</f>
        <v>0.69650000000000001</v>
      </c>
      <c r="F15" s="84">
        <v>5</v>
      </c>
      <c r="G15" s="50">
        <f t="shared" si="1"/>
        <v>3.4824999999999999</v>
      </c>
    </row>
    <row r="16" spans="2:7" x14ac:dyDescent="0.3">
      <c r="B16" s="84" t="s">
        <v>243</v>
      </c>
      <c r="C16" s="90" t="str">
        <f>IFERROR(VLOOKUP($B16,FertilizerTable[],2,FALSE),"")</f>
        <v>liquid fertilizer</v>
      </c>
      <c r="D16" s="91" t="str">
        <f>IFERROR(VLOOKUP($B16,FertilizerTable[],5,FALSE),"")</f>
        <v>pint</v>
      </c>
      <c r="E16" s="88">
        <f>IFERROR(VLOOKUP($B16,FertilizerTable[],7,FALSE),"")</f>
        <v>1.9375</v>
      </c>
      <c r="F16" s="84">
        <v>2</v>
      </c>
      <c r="G16" s="50">
        <f t="shared" si="1"/>
        <v>3.875</v>
      </c>
    </row>
    <row r="17" spans="2:7" x14ac:dyDescent="0.3">
      <c r="B17" s="84"/>
      <c r="C17" s="90" t="str">
        <f>IFERROR(VLOOKUP($B17,FertilizerTable[],2,FALSE),"")</f>
        <v/>
      </c>
      <c r="D17" s="91" t="str">
        <f>IFERROR(VLOOKUP($B17,FertilizerTable[],5,FALSE),"")</f>
        <v/>
      </c>
      <c r="E17" s="88" t="str">
        <f>IFERROR(VLOOKUP($B17,FertilizerTable[],7,FALSE),"")</f>
        <v/>
      </c>
      <c r="F17" s="84"/>
      <c r="G17" s="50" t="str">
        <f t="shared" si="1"/>
        <v/>
      </c>
    </row>
    <row r="18" spans="2:7" x14ac:dyDescent="0.3">
      <c r="B18" s="84"/>
      <c r="C18" s="90" t="str">
        <f>IFERROR(VLOOKUP($B18,FertilizerTable[],2,FALSE),"")</f>
        <v/>
      </c>
      <c r="D18" s="91" t="str">
        <f>IFERROR(VLOOKUP($B18,FertilizerTable[],5,FALSE),"")</f>
        <v/>
      </c>
      <c r="E18" s="88" t="str">
        <f>IFERROR(VLOOKUP($B18,FertilizerTable[],7,FALSE),"")</f>
        <v/>
      </c>
      <c r="F18" s="84"/>
      <c r="G18" s="50" t="str">
        <f t="shared" si="1"/>
        <v/>
      </c>
    </row>
    <row r="19" spans="2:7" x14ac:dyDescent="0.3">
      <c r="B19" s="84"/>
      <c r="C19" s="90" t="str">
        <f>IFERROR(VLOOKUP($B19,FertilizerTable[],2,FALSE),"")</f>
        <v/>
      </c>
      <c r="D19" s="91" t="str">
        <f>IFERROR(VLOOKUP($B19,FertilizerTable[],5,FALSE),"")</f>
        <v/>
      </c>
      <c r="E19" s="88" t="str">
        <f>IFERROR(VLOOKUP($B19,FertilizerTable[],7,FALSE),"")</f>
        <v/>
      </c>
      <c r="F19" s="84"/>
      <c r="G19" s="50" t="str">
        <f t="shared" si="1"/>
        <v/>
      </c>
    </row>
    <row r="20" spans="2:7" x14ac:dyDescent="0.3">
      <c r="B20" s="84"/>
      <c r="C20" s="90" t="str">
        <f>IFERROR(VLOOKUP($B20,FertilizerTable[],2,FALSE),"")</f>
        <v/>
      </c>
      <c r="D20" s="91" t="str">
        <f>IFERROR(VLOOKUP($B20,FertilizerTable[],5,FALSE),"")</f>
        <v/>
      </c>
      <c r="E20" s="88" t="str">
        <f>IFERROR(VLOOKUP($B20,FertilizerTable[],7,FALSE),"")</f>
        <v/>
      </c>
      <c r="F20" s="84"/>
      <c r="G20" s="50" t="str">
        <f t="shared" si="1"/>
        <v/>
      </c>
    </row>
    <row r="21" spans="2:7" x14ac:dyDescent="0.3">
      <c r="B21" s="84"/>
      <c r="C21" s="90" t="str">
        <f>IFERROR(VLOOKUP($B21,FertilizerTable[],2,FALSE),"")</f>
        <v/>
      </c>
      <c r="D21" s="91" t="str">
        <f>IFERROR(VLOOKUP($B21,FertilizerTable[],5,FALSE),"")</f>
        <v/>
      </c>
      <c r="E21" s="88" t="str">
        <f>IFERROR(VLOOKUP($B21,FertilizerTable[],7,FALSE),"")</f>
        <v/>
      </c>
      <c r="F21" s="84"/>
      <c r="G21" s="50" t="str">
        <f t="shared" si="1"/>
        <v/>
      </c>
    </row>
    <row r="22" spans="2:7" x14ac:dyDescent="0.3">
      <c r="B22" s="209" t="s">
        <v>69</v>
      </c>
      <c r="C22" s="210"/>
      <c r="D22" s="210"/>
      <c r="E22" s="210"/>
      <c r="F22" s="210"/>
      <c r="G22" s="77">
        <f>SUM(G10:G21)</f>
        <v>167.78099999999998</v>
      </c>
    </row>
    <row r="24" spans="2:7" ht="28.8" x14ac:dyDescent="0.3">
      <c r="B24" s="7" t="s">
        <v>83</v>
      </c>
      <c r="C24" s="7" t="s">
        <v>84</v>
      </c>
      <c r="D24" s="175" t="s">
        <v>79</v>
      </c>
      <c r="E24" s="34" t="s">
        <v>127</v>
      </c>
      <c r="F24" s="34" t="s">
        <v>128</v>
      </c>
      <c r="G24" s="34" t="s">
        <v>81</v>
      </c>
    </row>
    <row r="25" spans="2:7" x14ac:dyDescent="0.3">
      <c r="B25" s="84" t="s">
        <v>287</v>
      </c>
      <c r="C25" s="90" t="str">
        <f>IFERROR(VLOOKUP($B25,FungicideTable[],2,FALSE),"")</f>
        <v>azoxystrobin</v>
      </c>
      <c r="D25" s="91" t="str">
        <f>IFERROR(VLOOKUP($B25,FungicideTable[],5,FALSE),"")</f>
        <v>fl oz</v>
      </c>
      <c r="E25" s="88">
        <f>IFERROR(VLOOKUP($B25,FungicideTable[],7,FALSE),"")</f>
        <v>1.1640625</v>
      </c>
      <c r="F25" s="84">
        <v>6</v>
      </c>
      <c r="G25" s="50">
        <f t="shared" ref="G25:G32" si="2">IFERROR(E25*F25,"")</f>
        <v>6.984375</v>
      </c>
    </row>
    <row r="26" spans="2:7" x14ac:dyDescent="0.3">
      <c r="B26" s="84" t="s">
        <v>325</v>
      </c>
      <c r="C26" s="90" t="str">
        <f>IFERROR(VLOOKUP($B26,FungicideTable[],2,FALSE),"")</f>
        <v>prothioconazole</v>
      </c>
      <c r="D26" s="91" t="str">
        <f>IFERROR(VLOOKUP($B26,FungicideTable[],5,FALSE),"")</f>
        <v>fl oz</v>
      </c>
      <c r="E26" s="88">
        <f>IFERROR(VLOOKUP($B26,FungicideTable[],7,FALSE),"")</f>
        <v>4.28125</v>
      </c>
      <c r="F26" s="84">
        <v>5.7</v>
      </c>
      <c r="G26" s="50">
        <f t="shared" si="2"/>
        <v>24.403124999999999</v>
      </c>
    </row>
    <row r="27" spans="2:7" x14ac:dyDescent="0.3">
      <c r="B27" s="84" t="s">
        <v>304</v>
      </c>
      <c r="C27" s="90" t="str">
        <f>IFERROR(VLOOKUP($B27,FungicideTable[],2,FALSE),"")</f>
        <v>chlorothalonil</v>
      </c>
      <c r="D27" s="91" t="str">
        <f>IFERROR(VLOOKUP($B27,FungicideTable[],5,FALSE),"")</f>
        <v>pint</v>
      </c>
      <c r="E27" s="88">
        <f>IFERROR(VLOOKUP($B27,FungicideTable[],7,FALSE),"")</f>
        <v>2.5</v>
      </c>
      <c r="F27" s="84">
        <v>1</v>
      </c>
      <c r="G27" s="50">
        <f t="shared" si="2"/>
        <v>2.5</v>
      </c>
    </row>
    <row r="28" spans="2:7" x14ac:dyDescent="0.3">
      <c r="B28" s="84" t="s">
        <v>300</v>
      </c>
      <c r="C28" s="90" t="str">
        <f>IFERROR(VLOOKUP($B28,FungicideTable[],2,FALSE),"")</f>
        <v>flutolanil</v>
      </c>
      <c r="D28" s="91" t="str">
        <f>IFERROR(VLOOKUP($B28,FungicideTable[],5,FALSE),"")</f>
        <v>fl oz</v>
      </c>
      <c r="E28" s="88">
        <f>IFERROR(VLOOKUP($B28,FungicideTable[],7,FALSE),"")</f>
        <v>0.859375</v>
      </c>
      <c r="F28" s="84">
        <v>26</v>
      </c>
      <c r="G28" s="50">
        <f t="shared" si="2"/>
        <v>22.34375</v>
      </c>
    </row>
    <row r="29" spans="2:7" x14ac:dyDescent="0.3">
      <c r="B29" s="84" t="s">
        <v>329</v>
      </c>
      <c r="C29" s="90" t="str">
        <f>IFERROR(VLOOKUP($B29,FungicideTable[],2,FALSE),"")</f>
        <v>mefentrifluconazole</v>
      </c>
      <c r="D29" s="91" t="str">
        <f>IFERROR(VLOOKUP($B29,FungicideTable[],5,FALSE),"")</f>
        <v>fl oz</v>
      </c>
      <c r="E29" s="88">
        <f>IFERROR(VLOOKUP($B29,FungicideTable[],7,FALSE),"")</f>
        <v>4.7265625</v>
      </c>
      <c r="F29" s="84">
        <v>5</v>
      </c>
      <c r="G29" s="50">
        <f t="shared" si="2"/>
        <v>23.6328125</v>
      </c>
    </row>
    <row r="30" spans="2:7" x14ac:dyDescent="0.3">
      <c r="B30" s="84" t="s">
        <v>336</v>
      </c>
      <c r="C30" s="90" t="str">
        <f>IFERROR(VLOOKUP($B30,FungicideTable[],2,FALSE),"")</f>
        <v>tebuconazole</v>
      </c>
      <c r="D30" s="91" t="str">
        <f>IFERROR(VLOOKUP($B30,FungicideTable[],5,FALSE),"")</f>
        <v>fl oz</v>
      </c>
      <c r="E30" s="88">
        <f>IFERROR(VLOOKUP($B30,FungicideTable[],7,FALSE),"")</f>
        <v>0.39585937500000001</v>
      </c>
      <c r="F30" s="84">
        <v>7.2</v>
      </c>
      <c r="G30" s="50">
        <f t="shared" si="2"/>
        <v>2.8501875000000001</v>
      </c>
    </row>
    <row r="31" spans="2:7" x14ac:dyDescent="0.3">
      <c r="B31" s="84" t="s">
        <v>304</v>
      </c>
      <c r="C31" s="90" t="str">
        <f>IFERROR(VLOOKUP($B31,FungicideTable[],2,FALSE),"")</f>
        <v>chlorothalonil</v>
      </c>
      <c r="D31" s="91" t="str">
        <f>IFERROR(VLOOKUP($B31,FungicideTable[],5,FALSE),"")</f>
        <v>pint</v>
      </c>
      <c r="E31" s="88">
        <f>IFERROR(VLOOKUP($B31,FungicideTable[],7,FALSE),"")</f>
        <v>2.5</v>
      </c>
      <c r="F31" s="84">
        <v>1</v>
      </c>
      <c r="G31" s="50">
        <f t="shared" si="2"/>
        <v>2.5</v>
      </c>
    </row>
    <row r="32" spans="2:7" x14ac:dyDescent="0.3">
      <c r="B32" s="84" t="s">
        <v>300</v>
      </c>
      <c r="C32" s="90" t="str">
        <f>IFERROR(VLOOKUP($B32,FungicideTable[],2,FALSE),"")</f>
        <v>flutolanil</v>
      </c>
      <c r="D32" s="91" t="str">
        <f>IFERROR(VLOOKUP($B32,FungicideTable[],5,FALSE),"")</f>
        <v>fl oz</v>
      </c>
      <c r="E32" s="88">
        <f>IFERROR(VLOOKUP($B32,FungicideTable[],7,FALSE),"")</f>
        <v>0.859375</v>
      </c>
      <c r="F32" s="84">
        <v>26</v>
      </c>
      <c r="G32" s="50">
        <f t="shared" si="2"/>
        <v>22.34375</v>
      </c>
    </row>
    <row r="33" spans="2:7" x14ac:dyDescent="0.3">
      <c r="B33" s="84" t="s">
        <v>329</v>
      </c>
      <c r="C33" s="90" t="str">
        <f>IFERROR(VLOOKUP($B33,FungicideTable[],2,FALSE),"")</f>
        <v>mefentrifluconazole</v>
      </c>
      <c r="D33" s="91" t="str">
        <f>IFERROR(VLOOKUP($B33,FungicideTable[],5,FALSE),"")</f>
        <v>fl oz</v>
      </c>
      <c r="E33" s="88">
        <f>IFERROR(VLOOKUP($B33,FungicideTable[],7,FALSE),"")</f>
        <v>4.7265625</v>
      </c>
      <c r="F33" s="84">
        <v>5</v>
      </c>
      <c r="G33" s="50">
        <f t="shared" ref="G33:G39" si="3">IFERROR(E33*F33,"")</f>
        <v>23.6328125</v>
      </c>
    </row>
    <row r="34" spans="2:7" x14ac:dyDescent="0.3">
      <c r="B34" s="84" t="s">
        <v>336</v>
      </c>
      <c r="C34" s="90" t="str">
        <f>IFERROR(VLOOKUP($B34,FungicideTable[],2,FALSE),"")</f>
        <v>tebuconazole</v>
      </c>
      <c r="D34" s="91" t="str">
        <f>IFERROR(VLOOKUP($B34,FungicideTable[],5,FALSE),"")</f>
        <v>fl oz</v>
      </c>
      <c r="E34" s="88">
        <f>IFERROR(VLOOKUP($B34,FungicideTable[],7,FALSE),"")</f>
        <v>0.39585937500000001</v>
      </c>
      <c r="F34" s="84">
        <v>7.2</v>
      </c>
      <c r="G34" s="50">
        <f t="shared" si="3"/>
        <v>2.8501875000000001</v>
      </c>
    </row>
    <row r="35" spans="2:7" x14ac:dyDescent="0.3">
      <c r="B35" s="84" t="s">
        <v>304</v>
      </c>
      <c r="C35" s="90" t="str">
        <f>IFERROR(VLOOKUP($B35,FungicideTable[],2,FALSE),"")</f>
        <v>chlorothalonil</v>
      </c>
      <c r="D35" s="91" t="str">
        <f>IFERROR(VLOOKUP($B35,FungicideTable[],5,FALSE),"")</f>
        <v>pint</v>
      </c>
      <c r="E35" s="88">
        <f>IFERROR(VLOOKUP($B35,FungicideTable[],7,FALSE),"")</f>
        <v>2.5</v>
      </c>
      <c r="F35" s="84">
        <v>1</v>
      </c>
      <c r="G35" s="50">
        <f t="shared" si="3"/>
        <v>2.5</v>
      </c>
    </row>
    <row r="36" spans="2:7" x14ac:dyDescent="0.3">
      <c r="B36" s="84" t="s">
        <v>342</v>
      </c>
      <c r="C36" s="90" t="str">
        <f>IFERROR(VLOOKUP($B36,FungicideTable[],2,FALSE),"")</f>
        <v>thiophanate-methyl</v>
      </c>
      <c r="D36" s="91" t="str">
        <f>IFERROR(VLOOKUP($B36,FungicideTable[],5,FALSE),"")</f>
        <v>fl oz</v>
      </c>
      <c r="E36" s="88">
        <f>IFERROR(VLOOKUP($B36,FungicideTable[],7,FALSE),"")</f>
        <v>0.34632812499999999</v>
      </c>
      <c r="F36" s="84">
        <v>10</v>
      </c>
      <c r="G36" s="50">
        <f t="shared" si="3"/>
        <v>3.4632812499999996</v>
      </c>
    </row>
    <row r="37" spans="2:7" x14ac:dyDescent="0.3">
      <c r="B37" s="84" t="s">
        <v>304</v>
      </c>
      <c r="C37" s="90" t="str">
        <f>IFERROR(VLOOKUP($B37,FungicideTable[],2,FALSE),"")</f>
        <v>chlorothalonil</v>
      </c>
      <c r="D37" s="91" t="str">
        <f>IFERROR(VLOOKUP($B37,FungicideTable[],5,FALSE),"")</f>
        <v>pint</v>
      </c>
      <c r="E37" s="88">
        <f>IFERROR(VLOOKUP($B37,FungicideTable[],7,FALSE),"")</f>
        <v>2.5</v>
      </c>
      <c r="F37" s="84">
        <v>1.5</v>
      </c>
      <c r="G37" s="50">
        <f t="shared" si="3"/>
        <v>3.75</v>
      </c>
    </row>
    <row r="38" spans="2:7" x14ac:dyDescent="0.3">
      <c r="B38" s="84"/>
      <c r="C38" s="90" t="str">
        <f>IFERROR(VLOOKUP($B38,FungicideTable[],2,FALSE),"")</f>
        <v/>
      </c>
      <c r="D38" s="91" t="str">
        <f>IFERROR(VLOOKUP($B38,FungicideTable[],5,FALSE),"")</f>
        <v/>
      </c>
      <c r="E38" s="88" t="str">
        <f>IFERROR(VLOOKUP($B38,FungicideTable[],7,FALSE),"")</f>
        <v/>
      </c>
      <c r="F38" s="84"/>
      <c r="G38" s="50" t="str">
        <f t="shared" si="3"/>
        <v/>
      </c>
    </row>
    <row r="39" spans="2:7" x14ac:dyDescent="0.3">
      <c r="B39" s="84"/>
      <c r="C39" s="90" t="str">
        <f>IFERROR(VLOOKUP($B39,FungicideTable[],2,FALSE),"")</f>
        <v/>
      </c>
      <c r="D39" s="91" t="str">
        <f>IFERROR(VLOOKUP($B39,FungicideTable[],5,FALSE),"")</f>
        <v/>
      </c>
      <c r="E39" s="88" t="str">
        <f>IFERROR(VLOOKUP($B39,FungicideTable[],7,FALSE),"")</f>
        <v/>
      </c>
      <c r="F39" s="84"/>
      <c r="G39" s="50" t="str">
        <f t="shared" si="3"/>
        <v/>
      </c>
    </row>
    <row r="40" spans="2:7" x14ac:dyDescent="0.3">
      <c r="B40" s="209" t="s">
        <v>69</v>
      </c>
      <c r="C40" s="210"/>
      <c r="D40" s="210"/>
      <c r="E40" s="210"/>
      <c r="F40" s="210"/>
      <c r="G40" s="77">
        <f>SUM(G25:G39)</f>
        <v>143.75428124999999</v>
      </c>
    </row>
    <row r="42" spans="2:7" ht="28.8" x14ac:dyDescent="0.3">
      <c r="B42" s="7" t="s">
        <v>85</v>
      </c>
      <c r="C42" s="7" t="s">
        <v>84</v>
      </c>
      <c r="D42" s="175" t="s">
        <v>79</v>
      </c>
      <c r="E42" s="34" t="s">
        <v>127</v>
      </c>
      <c r="F42" s="34" t="s">
        <v>128</v>
      </c>
      <c r="G42" s="34" t="s">
        <v>81</v>
      </c>
    </row>
    <row r="43" spans="2:7" x14ac:dyDescent="0.3">
      <c r="B43" s="84" t="s">
        <v>361</v>
      </c>
      <c r="C43" s="90" t="str">
        <f>IFERROR(VLOOKUP($B43,HerbicideTable[],2,FALSE),"")</f>
        <v>glyphosate</v>
      </c>
      <c r="D43" s="91" t="str">
        <f>IFERROR(VLOOKUP($B43,HerbicideTable[],5,FALSE),"")</f>
        <v>fl oz</v>
      </c>
      <c r="E43" s="88">
        <f>IFERROR(VLOOKUP($B43,HerbicideTable[],7,FALSE),"")</f>
        <v>0.16757812499999999</v>
      </c>
      <c r="F43" s="84">
        <v>32</v>
      </c>
      <c r="G43" s="50">
        <f t="shared" ref="G43:G50" si="4">IFERROR(E43*F43,"")</f>
        <v>5.3624999999999998</v>
      </c>
    </row>
    <row r="44" spans="2:7" x14ac:dyDescent="0.3">
      <c r="B44" s="84" t="s">
        <v>349</v>
      </c>
      <c r="C44" s="90" t="str">
        <f>IFERROR(VLOOKUP($B44,HerbicideTable[],2,FALSE),"")</f>
        <v>S-metolachlor</v>
      </c>
      <c r="D44" s="91" t="str">
        <f>IFERROR(VLOOKUP($B44,HerbicideTable[],5,FALSE),"")</f>
        <v>pint</v>
      </c>
      <c r="E44" s="88">
        <f>IFERROR(VLOOKUP($B44,HerbicideTable[],7,FALSE),"")</f>
        <v>7.5837500000000002</v>
      </c>
      <c r="F44" s="84">
        <v>1.2</v>
      </c>
      <c r="G44" s="50">
        <f t="shared" si="4"/>
        <v>9.1005000000000003</v>
      </c>
    </row>
    <row r="45" spans="2:7" x14ac:dyDescent="0.3">
      <c r="B45" s="84" t="s">
        <v>357</v>
      </c>
      <c r="C45" s="90" t="str">
        <f>IFERROR(VLOOKUP($B45,HerbicideTable[],2,FALSE),"")</f>
        <v>pendimethalin</v>
      </c>
      <c r="D45" s="91" t="str">
        <f>IFERROR(VLOOKUP($B45,HerbicideTable[],5,FALSE),"")</f>
        <v>pint</v>
      </c>
      <c r="E45" s="88">
        <f>IFERROR(VLOOKUP($B45,HerbicideTable[],7,FALSE),"")</f>
        <v>5.5625</v>
      </c>
      <c r="F45" s="84">
        <v>1.75</v>
      </c>
      <c r="G45" s="50">
        <f t="shared" si="4"/>
        <v>9.734375</v>
      </c>
    </row>
    <row r="46" spans="2:7" x14ac:dyDescent="0.3">
      <c r="B46" s="84" t="s">
        <v>347</v>
      </c>
      <c r="C46" s="90" t="str">
        <f>IFERROR(VLOOKUP($B46,HerbicideTable[],2,FALSE),"")</f>
        <v>imazapic</v>
      </c>
      <c r="D46" s="91" t="str">
        <f>IFERROR(VLOOKUP($B46,HerbicideTable[],5,FALSE),"")</f>
        <v>fl oz</v>
      </c>
      <c r="E46" s="88">
        <f>IFERROR(VLOOKUP($B46,HerbicideTable[],7,FALSE),"")</f>
        <v>1.5625</v>
      </c>
      <c r="F46" s="84">
        <v>4</v>
      </c>
      <c r="G46" s="50">
        <f t="shared" si="4"/>
        <v>6.25</v>
      </c>
    </row>
    <row r="47" spans="2:7" x14ac:dyDescent="0.3">
      <c r="B47" s="84" t="s">
        <v>346</v>
      </c>
      <c r="C47" s="90" t="str">
        <f>IFERROR(VLOOKUP($B47,HerbicideTable[],2,FALSE),"")</f>
        <v>2,4-DB</v>
      </c>
      <c r="D47" s="91" t="str">
        <f>IFERROR(VLOOKUP($B47,HerbicideTable[],5,FALSE),"")</f>
        <v>pint</v>
      </c>
      <c r="E47" s="88">
        <f>IFERROR(VLOOKUP($B47,HerbicideTable[],7,FALSE),"")</f>
        <v>2.7287499999999998</v>
      </c>
      <c r="F47" s="84">
        <v>1.75</v>
      </c>
      <c r="G47" s="50">
        <f t="shared" si="4"/>
        <v>4.7753125000000001</v>
      </c>
    </row>
    <row r="48" spans="2:7" x14ac:dyDescent="0.3">
      <c r="B48" s="84"/>
      <c r="C48" s="90" t="str">
        <f>IFERROR(VLOOKUP($B48,HerbicideTable[],2,FALSE),"")</f>
        <v/>
      </c>
      <c r="D48" s="91" t="str">
        <f>IFERROR(VLOOKUP($B48,HerbicideTable[],5,FALSE),"")</f>
        <v/>
      </c>
      <c r="E48" s="88" t="str">
        <f>IFERROR(VLOOKUP($B48,HerbicideTable[],7,FALSE),"")</f>
        <v/>
      </c>
      <c r="F48" s="84"/>
      <c r="G48" s="50" t="str">
        <f t="shared" si="4"/>
        <v/>
      </c>
    </row>
    <row r="49" spans="2:7" x14ac:dyDescent="0.3">
      <c r="B49" s="84"/>
      <c r="C49" s="90" t="str">
        <f>IFERROR(VLOOKUP($B49,HerbicideTable[],2,FALSE),"")</f>
        <v/>
      </c>
      <c r="D49" s="91" t="str">
        <f>IFERROR(VLOOKUP($B49,HerbicideTable[],5,FALSE),"")</f>
        <v/>
      </c>
      <c r="E49" s="88" t="str">
        <f>IFERROR(VLOOKUP($B49,HerbicideTable[],7,FALSE),"")</f>
        <v/>
      </c>
      <c r="F49" s="84"/>
      <c r="G49" s="50" t="str">
        <f t="shared" ref="G49" si="5">IFERROR(E49*F49,"")</f>
        <v/>
      </c>
    </row>
    <row r="50" spans="2:7" x14ac:dyDescent="0.3">
      <c r="B50" s="84"/>
      <c r="C50" s="90" t="str">
        <f>IFERROR(VLOOKUP($B50,HerbicideTable[],2,FALSE),"")</f>
        <v/>
      </c>
      <c r="D50" s="91" t="str">
        <f>IFERROR(VLOOKUP($B50,HerbicideTable[],5,FALSE),"")</f>
        <v/>
      </c>
      <c r="E50" s="88" t="str">
        <f>IFERROR(VLOOKUP($B50,HerbicideTable[],7,FALSE),"")</f>
        <v/>
      </c>
      <c r="F50" s="84"/>
      <c r="G50" s="50" t="str">
        <f t="shared" si="4"/>
        <v/>
      </c>
    </row>
    <row r="51" spans="2:7" x14ac:dyDescent="0.3">
      <c r="B51" s="209" t="s">
        <v>69</v>
      </c>
      <c r="C51" s="210"/>
      <c r="D51" s="210"/>
      <c r="E51" s="210"/>
      <c r="F51" s="210"/>
      <c r="G51" s="77">
        <f>SUM(G43:G50)</f>
        <v>35.222687499999999</v>
      </c>
    </row>
    <row r="53" spans="2:7" ht="28.8" x14ac:dyDescent="0.3">
      <c r="B53" s="7" t="s">
        <v>86</v>
      </c>
      <c r="C53" s="7" t="s">
        <v>84</v>
      </c>
      <c r="D53" s="175" t="s">
        <v>79</v>
      </c>
      <c r="E53" s="34" t="s">
        <v>127</v>
      </c>
      <c r="F53" s="34" t="s">
        <v>128</v>
      </c>
      <c r="G53" s="34" t="s">
        <v>81</v>
      </c>
    </row>
    <row r="54" spans="2:7" x14ac:dyDescent="0.3">
      <c r="B54" s="84" t="s">
        <v>385</v>
      </c>
      <c r="C54" s="90" t="str">
        <f>IFERROR(VLOOKUP($B54,InsecticideTable[],2,FALSE),"")</f>
        <v>diflubenzuron</v>
      </c>
      <c r="D54" s="91" t="str">
        <f>IFERROR(VLOOKUP($B54,InsecticideTable[],5,FALSE),"")</f>
        <v>fl oz</v>
      </c>
      <c r="E54" s="88">
        <f>IFERROR(VLOOKUP($B54,InsecticideTable[],7,FALSE),"")</f>
        <v>0.859375</v>
      </c>
      <c r="F54" s="84">
        <v>6</v>
      </c>
      <c r="G54" s="50">
        <f t="shared" ref="G54:G60" si="6">IFERROR(E54*F54,"")</f>
        <v>5.15625</v>
      </c>
    </row>
    <row r="55" spans="2:7" x14ac:dyDescent="0.3">
      <c r="B55" s="84"/>
      <c r="C55" s="90" t="str">
        <f>IFERROR(VLOOKUP($B55,InsecticideTable[],2,FALSE),"")</f>
        <v/>
      </c>
      <c r="D55" s="91" t="str">
        <f>IFERROR(VLOOKUP($B55,InsecticideTable[],5,FALSE),"")</f>
        <v/>
      </c>
      <c r="E55" s="88" t="str">
        <f>IFERROR(VLOOKUP($B55,InsecticideTable[],7,FALSE),"")</f>
        <v/>
      </c>
      <c r="F55" s="84"/>
      <c r="G55" s="50" t="str">
        <f t="shared" si="6"/>
        <v/>
      </c>
    </row>
    <row r="56" spans="2:7" x14ac:dyDescent="0.3">
      <c r="B56" s="84"/>
      <c r="C56" s="90" t="str">
        <f>IFERROR(VLOOKUP($B56,InsecticideTable[],2,FALSE),"")</f>
        <v/>
      </c>
      <c r="D56" s="91" t="str">
        <f>IFERROR(VLOOKUP($B56,InsecticideTable[],5,FALSE),"")</f>
        <v/>
      </c>
      <c r="E56" s="88" t="str">
        <f>IFERROR(VLOOKUP($B56,InsecticideTable[],7,FALSE),"")</f>
        <v/>
      </c>
      <c r="F56" s="84"/>
      <c r="G56" s="50" t="str">
        <f t="shared" si="6"/>
        <v/>
      </c>
    </row>
    <row r="57" spans="2:7" x14ac:dyDescent="0.3">
      <c r="B57" s="84"/>
      <c r="C57" s="90" t="str">
        <f>IFERROR(VLOOKUP($B57,InsecticideTable[],2,FALSE),"")</f>
        <v/>
      </c>
      <c r="D57" s="91" t="str">
        <f>IFERROR(VLOOKUP($B57,InsecticideTable[],5,FALSE),"")</f>
        <v/>
      </c>
      <c r="E57" s="88" t="str">
        <f>IFERROR(VLOOKUP($B57,InsecticideTable[],7,FALSE),"")</f>
        <v/>
      </c>
      <c r="F57" s="84"/>
      <c r="G57" s="50" t="str">
        <f t="shared" si="6"/>
        <v/>
      </c>
    </row>
    <row r="58" spans="2:7" x14ac:dyDescent="0.3">
      <c r="B58" s="84"/>
      <c r="C58" s="90" t="str">
        <f>IFERROR(VLOOKUP($B58,InsecticideTable[],2,FALSE),"")</f>
        <v/>
      </c>
      <c r="D58" s="91" t="str">
        <f>IFERROR(VLOOKUP($B58,InsecticideTable[],5,FALSE),"")</f>
        <v/>
      </c>
      <c r="E58" s="88" t="str">
        <f>IFERROR(VLOOKUP($B58,InsecticideTable[],7,FALSE),"")</f>
        <v/>
      </c>
      <c r="F58" s="84"/>
      <c r="G58" s="50" t="str">
        <f t="shared" si="6"/>
        <v/>
      </c>
    </row>
    <row r="59" spans="2:7" x14ac:dyDescent="0.3">
      <c r="B59" s="84"/>
      <c r="C59" s="90" t="str">
        <f>IFERROR(VLOOKUP($B59,InsecticideTable[],2,FALSE),"")</f>
        <v/>
      </c>
      <c r="D59" s="91" t="str">
        <f>IFERROR(VLOOKUP($B59,InsecticideTable[],5,FALSE),"")</f>
        <v/>
      </c>
      <c r="E59" s="88" t="str">
        <f>IFERROR(VLOOKUP($B59,InsecticideTable[],7,FALSE),"")</f>
        <v/>
      </c>
      <c r="F59" s="84"/>
      <c r="G59" s="50" t="str">
        <f t="shared" si="6"/>
        <v/>
      </c>
    </row>
    <row r="60" spans="2:7" x14ac:dyDescent="0.3">
      <c r="B60" s="84"/>
      <c r="C60" s="90" t="str">
        <f>IFERROR(VLOOKUP($B60,InsecticideTable[],2,FALSE),"")</f>
        <v/>
      </c>
      <c r="D60" s="91" t="str">
        <f>IFERROR(VLOOKUP($B60,InsecticideTable[],5,FALSE),"")</f>
        <v/>
      </c>
      <c r="E60" s="88" t="str">
        <f>IFERROR(VLOOKUP($B60,InsecticideTable[],7,FALSE),"")</f>
        <v/>
      </c>
      <c r="F60" s="84"/>
      <c r="G60" s="50" t="str">
        <f t="shared" si="6"/>
        <v/>
      </c>
    </row>
    <row r="61" spans="2:7" x14ac:dyDescent="0.3">
      <c r="B61" s="209" t="s">
        <v>69</v>
      </c>
      <c r="C61" s="210"/>
      <c r="D61" s="210"/>
      <c r="E61" s="210"/>
      <c r="F61" s="210"/>
      <c r="G61" s="77">
        <f>SUM(G54:G60)</f>
        <v>5.15625</v>
      </c>
    </row>
    <row r="63" spans="2:7" ht="28.8" x14ac:dyDescent="0.3">
      <c r="B63" s="7" t="s">
        <v>87</v>
      </c>
      <c r="C63" s="7" t="s">
        <v>84</v>
      </c>
      <c r="D63" s="175" t="s">
        <v>79</v>
      </c>
      <c r="E63" s="34" t="s">
        <v>127</v>
      </c>
      <c r="F63" s="34" t="s">
        <v>128</v>
      </c>
      <c r="G63" s="34" t="s">
        <v>81</v>
      </c>
    </row>
    <row r="64" spans="2:7" x14ac:dyDescent="0.3">
      <c r="B64" s="84" t="s">
        <v>414</v>
      </c>
      <c r="C64" s="90" t="str">
        <f>IFERROR(VLOOKUP($B64,NematicideTable[],2,FALSE),"")</f>
        <v>Fluopyram</v>
      </c>
      <c r="D64" s="91" t="str">
        <f>IFERROR(VLOOKUP($B64,NematicideTable[],5,FALSE),"")</f>
        <v>fl oz</v>
      </c>
      <c r="E64" s="88">
        <f>IFERROR(VLOOKUP($B64,NematicideTable[],7,FALSE),"")</f>
        <v>5.53125</v>
      </c>
      <c r="F64" s="84">
        <v>6.8</v>
      </c>
      <c r="G64" s="50">
        <f t="shared" ref="G64:G66" si="7">IFERROR(E64*F64,"")</f>
        <v>37.612499999999997</v>
      </c>
    </row>
    <row r="65" spans="2:7" x14ac:dyDescent="0.3">
      <c r="B65" s="84"/>
      <c r="C65" s="90" t="str">
        <f>IFERROR(VLOOKUP($B65,NematicideTable[],2,FALSE),"")</f>
        <v/>
      </c>
      <c r="D65" s="91" t="str">
        <f>IFERROR(VLOOKUP($B65,NematicideTable[],5,FALSE),"")</f>
        <v/>
      </c>
      <c r="E65" s="88" t="str">
        <f>IFERROR(VLOOKUP($B65,NematicideTable[],7,FALSE),"")</f>
        <v/>
      </c>
      <c r="F65" s="84"/>
      <c r="G65" s="50" t="str">
        <f t="shared" si="7"/>
        <v/>
      </c>
    </row>
    <row r="66" spans="2:7" x14ac:dyDescent="0.3">
      <c r="B66" s="84"/>
      <c r="C66" s="90" t="str">
        <f>IFERROR(VLOOKUP($B66,NematicideTable[],2,FALSE),"")</f>
        <v/>
      </c>
      <c r="D66" s="91" t="str">
        <f>IFERROR(VLOOKUP($B66,NematicideTable[],5,FALSE),"")</f>
        <v/>
      </c>
      <c r="E66" s="88" t="str">
        <f>IFERROR(VLOOKUP($B66,NematicideTable[],7,FALSE),"")</f>
        <v/>
      </c>
      <c r="F66" s="84"/>
      <c r="G66" s="50" t="str">
        <f t="shared" si="7"/>
        <v/>
      </c>
    </row>
    <row r="67" spans="2:7" x14ac:dyDescent="0.3">
      <c r="B67" s="209" t="s">
        <v>69</v>
      </c>
      <c r="C67" s="210"/>
      <c r="D67" s="210"/>
      <c r="E67" s="210"/>
      <c r="F67" s="210"/>
      <c r="G67" s="77">
        <f>SUM(G64:G66)</f>
        <v>37.612499999999997</v>
      </c>
    </row>
    <row r="69" spans="2:7" ht="28.8" x14ac:dyDescent="0.3">
      <c r="B69" s="7" t="s">
        <v>88</v>
      </c>
      <c r="C69" s="7" t="s">
        <v>78</v>
      </c>
      <c r="D69" s="175" t="s">
        <v>79</v>
      </c>
      <c r="E69" s="34" t="s">
        <v>127</v>
      </c>
      <c r="F69" s="34" t="s">
        <v>128</v>
      </c>
      <c r="G69" s="34" t="s">
        <v>81</v>
      </c>
    </row>
    <row r="70" spans="2:7" x14ac:dyDescent="0.3">
      <c r="B70" s="84" t="s">
        <v>422</v>
      </c>
      <c r="C70" s="90" t="str">
        <f>IFERROR(VLOOKUP($B70,OtherMaterialTable[],2,FALSE),"")</f>
        <v>Fall/winter</v>
      </c>
      <c r="D70" s="91" t="str">
        <f>IFERROR(VLOOKUP($B70,OtherMaterialTable[],5,FALSE),"")</f>
        <v>pound</v>
      </c>
      <c r="E70" s="88">
        <f>IFERROR(VLOOKUP($B70,OtherMaterialTable[],7,FALSE),"")</f>
        <v>0.45</v>
      </c>
      <c r="F70" s="84">
        <v>80</v>
      </c>
      <c r="G70" s="50">
        <f t="shared" ref="G70:G79" si="8">IFERROR(E70*F70,"")</f>
        <v>36</v>
      </c>
    </row>
    <row r="71" spans="2:7" x14ac:dyDescent="0.3">
      <c r="B71" s="84" t="s">
        <v>419</v>
      </c>
      <c r="C71" s="90" t="str">
        <f>IFERROR(VLOOKUP($B71,OtherMaterialTable[],2,FALSE),"")</f>
        <v>Tank mix with chemical sprays</v>
      </c>
      <c r="D71" s="91" t="str">
        <f>IFERROR(VLOOKUP($B71,OtherMaterialTable[],5,FALSE),"")</f>
        <v>pint</v>
      </c>
      <c r="E71" s="88">
        <f>IFERROR(VLOOKUP($B71,OtherMaterialTable[],7,FALSE),"")</f>
        <v>2.40625</v>
      </c>
      <c r="F71" s="84">
        <v>3</v>
      </c>
      <c r="G71" s="50">
        <f t="shared" si="8"/>
        <v>7.21875</v>
      </c>
    </row>
    <row r="72" spans="2:7" x14ac:dyDescent="0.3">
      <c r="B72" s="84" t="s">
        <v>627</v>
      </c>
      <c r="C72" s="90">
        <f>IFERROR(VLOOKUP($B72,OtherMaterialTable[],2,FALSE),"")</f>
        <v>0</v>
      </c>
      <c r="D72" s="91" t="str">
        <f>IFERROR(VLOOKUP($B72,OtherMaterialTable[],5,FALSE),"")</f>
        <v>acre</v>
      </c>
      <c r="E72" s="88">
        <f>IFERROR(VLOOKUP($B72,OtherMaterialTable[],7,FALSE),"")</f>
        <v>4</v>
      </c>
      <c r="F72" s="84">
        <v>1</v>
      </c>
      <c r="G72" s="50">
        <f t="shared" si="8"/>
        <v>4</v>
      </c>
    </row>
    <row r="73" spans="2:7" x14ac:dyDescent="0.3">
      <c r="B73" s="84"/>
      <c r="C73" s="90" t="str">
        <f>IFERROR(VLOOKUP($B73,OtherMaterialTable[],2,FALSE),"")</f>
        <v/>
      </c>
      <c r="D73" s="91" t="str">
        <f>IFERROR(VLOOKUP($B73,OtherMaterialTable[],5,FALSE),"")</f>
        <v/>
      </c>
      <c r="E73" s="88" t="str">
        <f>IFERROR(VLOOKUP($B73,OtherMaterialTable[],7,FALSE),"")</f>
        <v/>
      </c>
      <c r="F73" s="84"/>
      <c r="G73" s="50" t="str">
        <f t="shared" si="8"/>
        <v/>
      </c>
    </row>
    <row r="74" spans="2:7" x14ac:dyDescent="0.3">
      <c r="B74" s="84"/>
      <c r="C74" s="90" t="str">
        <f>IFERROR(VLOOKUP($B74,OtherMaterialTable[],2,FALSE),"")</f>
        <v/>
      </c>
      <c r="D74" s="91" t="str">
        <f>IFERROR(VLOOKUP($B74,OtherMaterialTable[],5,FALSE),"")</f>
        <v/>
      </c>
      <c r="E74" s="88" t="str">
        <f>IFERROR(VLOOKUP($B74,OtherMaterialTable[],7,FALSE),"")</f>
        <v/>
      </c>
      <c r="F74" s="84"/>
      <c r="G74" s="50" t="str">
        <f t="shared" si="8"/>
        <v/>
      </c>
    </row>
    <row r="75" spans="2:7" x14ac:dyDescent="0.3">
      <c r="B75" s="84"/>
      <c r="C75" s="90" t="str">
        <f>IFERROR(VLOOKUP($B75,OtherMaterialTable[],2,FALSE),"")</f>
        <v/>
      </c>
      <c r="D75" s="91" t="str">
        <f>IFERROR(VLOOKUP($B75,OtherMaterialTable[],5,FALSE),"")</f>
        <v/>
      </c>
      <c r="E75" s="88" t="str">
        <f>IFERROR(VLOOKUP($B75,OtherMaterialTable[],7,FALSE),"")</f>
        <v/>
      </c>
      <c r="F75" s="84"/>
      <c r="G75" s="50" t="str">
        <f t="shared" si="8"/>
        <v/>
      </c>
    </row>
    <row r="76" spans="2:7" x14ac:dyDescent="0.3">
      <c r="B76" s="84"/>
      <c r="C76" s="90" t="str">
        <f>IFERROR(VLOOKUP($B76,OtherMaterialTable[],2,FALSE),"")</f>
        <v/>
      </c>
      <c r="D76" s="91" t="str">
        <f>IFERROR(VLOOKUP($B76,OtherMaterialTable[],5,FALSE),"")</f>
        <v/>
      </c>
      <c r="E76" s="88" t="str">
        <f>IFERROR(VLOOKUP($B76,OtherMaterialTable[],7,FALSE),"")</f>
        <v/>
      </c>
      <c r="F76" s="84"/>
      <c r="G76" s="50" t="str">
        <f t="shared" si="8"/>
        <v/>
      </c>
    </row>
    <row r="77" spans="2:7" x14ac:dyDescent="0.3">
      <c r="B77" s="84"/>
      <c r="C77" s="90" t="str">
        <f>IFERROR(VLOOKUP($B77,OtherMaterialTable[],2,FALSE),"")</f>
        <v/>
      </c>
      <c r="D77" s="91" t="str">
        <f>IFERROR(VLOOKUP($B77,OtherMaterialTable[],5,FALSE),"")</f>
        <v/>
      </c>
      <c r="E77" s="88" t="str">
        <f>IFERROR(VLOOKUP($B77,OtherMaterialTable[],7,FALSE),"")</f>
        <v/>
      </c>
      <c r="F77" s="84"/>
      <c r="G77" s="50" t="str">
        <f t="shared" si="8"/>
        <v/>
      </c>
    </row>
    <row r="78" spans="2:7" x14ac:dyDescent="0.3">
      <c r="B78" s="84"/>
      <c r="C78" s="90" t="str">
        <f>IFERROR(VLOOKUP($B78,OtherMaterialTable[],2,FALSE),"")</f>
        <v/>
      </c>
      <c r="D78" s="91" t="str">
        <f>IFERROR(VLOOKUP($B78,OtherMaterialTable[],5,FALSE),"")</f>
        <v/>
      </c>
      <c r="E78" s="88" t="str">
        <f>IFERROR(VLOOKUP($B78,OtherMaterialTable[],7,FALSE),"")</f>
        <v/>
      </c>
      <c r="F78" s="84"/>
      <c r="G78" s="50" t="str">
        <f t="shared" si="8"/>
        <v/>
      </c>
    </row>
    <row r="79" spans="2:7" x14ac:dyDescent="0.3">
      <c r="B79" s="84"/>
      <c r="C79" s="90" t="str">
        <f>IFERROR(VLOOKUP($B79,OtherMaterialTable[],2,FALSE),"")</f>
        <v/>
      </c>
      <c r="D79" s="91" t="str">
        <f>IFERROR(VLOOKUP($B79,OtherMaterialTable[],5,FALSE),"")</f>
        <v/>
      </c>
      <c r="E79" s="88" t="str">
        <f>IFERROR(VLOOKUP($B79,OtherMaterialTable[],7,FALSE),"")</f>
        <v/>
      </c>
      <c r="F79" s="84"/>
      <c r="G79" s="50" t="str">
        <f t="shared" si="8"/>
        <v/>
      </c>
    </row>
    <row r="80" spans="2:7" x14ac:dyDescent="0.3">
      <c r="B80" s="209" t="s">
        <v>69</v>
      </c>
      <c r="C80" s="210"/>
      <c r="D80" s="210"/>
      <c r="E80" s="210"/>
      <c r="F80" s="210"/>
      <c r="G80" s="77">
        <f>SUM(G70:G79)</f>
        <v>47.21875</v>
      </c>
    </row>
    <row r="82" spans="2:7" x14ac:dyDescent="0.3">
      <c r="B82" s="24"/>
      <c r="C82" s="24"/>
      <c r="D82" s="24"/>
      <c r="E82" s="24"/>
      <c r="F82" s="24"/>
      <c r="G82" s="24"/>
    </row>
    <row r="83" spans="2:7" x14ac:dyDescent="0.3">
      <c r="B83" s="24"/>
      <c r="C83" s="24"/>
      <c r="D83" s="24"/>
      <c r="E83" s="24"/>
      <c r="F83" s="24"/>
      <c r="G83" s="24"/>
    </row>
    <row r="84" spans="2:7" x14ac:dyDescent="0.3">
      <c r="B84" s="24"/>
      <c r="C84" s="24"/>
      <c r="D84" s="24"/>
      <c r="E84" s="24"/>
      <c r="F84" s="24"/>
      <c r="G84" s="24"/>
    </row>
    <row r="85" spans="2:7" x14ac:dyDescent="0.3">
      <c r="B85" s="24"/>
      <c r="C85" s="24"/>
      <c r="D85" s="24"/>
      <c r="E85" s="24"/>
      <c r="F85" s="24"/>
      <c r="G85" s="24"/>
    </row>
    <row r="86" spans="2:7" x14ac:dyDescent="0.3">
      <c r="B86" s="24"/>
      <c r="C86" s="24"/>
      <c r="D86" s="24"/>
      <c r="E86" s="24"/>
      <c r="F86" s="24"/>
      <c r="G86" s="24"/>
    </row>
    <row r="87" spans="2:7" x14ac:dyDescent="0.3">
      <c r="B87" s="24"/>
      <c r="C87" s="24"/>
      <c r="D87" s="24"/>
      <c r="E87" s="24"/>
      <c r="F87" s="24"/>
      <c r="G87" s="24"/>
    </row>
    <row r="88" spans="2:7" x14ac:dyDescent="0.3">
      <c r="B88" s="24"/>
      <c r="C88" s="24"/>
      <c r="D88" s="24"/>
      <c r="E88" s="24"/>
      <c r="F88" s="24"/>
      <c r="G88" s="24"/>
    </row>
    <row r="89" spans="2:7" x14ac:dyDescent="0.3">
      <c r="B89" s="24"/>
      <c r="C89" s="24"/>
      <c r="D89" s="24"/>
      <c r="E89" s="24"/>
      <c r="F89" s="24"/>
      <c r="G89" s="24"/>
    </row>
  </sheetData>
  <sheetProtection algorithmName="SHA-512" hashValue="50lF7Q2Wy9S77hU+RSnpaHY9C5cm34TSfPeixWndNkBRkvDTSU+44vvF2z4TzjVGM2jP+UI0ZX0hLB+EGbYpSA==" saltValue="GYzqXwFSRrZYJZ0Bx51Tng==" spinCount="100000" sheet="1" objects="1" scenarios="1"/>
  <mergeCells count="8">
    <mergeCell ref="B1:G1"/>
    <mergeCell ref="B22:F22"/>
    <mergeCell ref="B7:F7"/>
    <mergeCell ref="B40:F40"/>
    <mergeCell ref="B80:F80"/>
    <mergeCell ref="B51:F51"/>
    <mergeCell ref="B61:F61"/>
    <mergeCell ref="B67:F67"/>
  </mergeCells>
  <dataValidations count="7">
    <dataValidation type="list" errorStyle="information" allowBlank="1" showInputMessage="1" showErrorMessage="1" error="Select from dropdown or enter seed variety" sqref="B4:B6" xr:uid="{CA650BB2-F402-49B2-AD20-BE041B9AD2F4}">
      <formula1>Seeds</formula1>
    </dataValidation>
    <dataValidation type="list" errorStyle="information" allowBlank="1" showInputMessage="1" showErrorMessage="1" error="Select from dropdown or enter fertilizer name" sqref="B10:B21" xr:uid="{D28AB886-27E1-447E-A7A1-E9ED12920C3C}">
      <formula1>Fertilizers</formula1>
    </dataValidation>
    <dataValidation type="list" errorStyle="information" allowBlank="1" showInputMessage="1" showErrorMessage="1" error="Select from dropdown or enter fungicide name" sqref="B25:B39" xr:uid="{ACA1C3FA-339A-4882-9075-F96B7E51EAF2}">
      <formula1>Fungicides</formula1>
    </dataValidation>
    <dataValidation type="list" errorStyle="information" allowBlank="1" showInputMessage="1" showErrorMessage="1" error="Select from dropdown or enter herbicide name" sqref="B43:B50" xr:uid="{D5C1A671-87DF-4993-88EB-5D5833D40FE9}">
      <formula1>Herbicides</formula1>
    </dataValidation>
    <dataValidation type="list" errorStyle="information" allowBlank="1" showInputMessage="1" showErrorMessage="1" error="Select from dropdown or enter insecticide name" sqref="B54:B60" xr:uid="{56EB5818-F268-4A0C-A6F5-A0888A420DCB}">
      <formula1>Insecticides</formula1>
    </dataValidation>
    <dataValidation type="list" errorStyle="information" allowBlank="1" showInputMessage="1" showErrorMessage="1" error="Select from dropdown or enter nematicide name" sqref="B64:B66" xr:uid="{E740F2E0-4892-465E-A880-9E7DC6CFB3FE}">
      <formula1>Nematicides</formula1>
    </dataValidation>
    <dataValidation type="list" errorStyle="information" allowBlank="1" showInputMessage="1" showErrorMessage="1" error="Select from dropdown or enter product name" sqref="B70:B79" xr:uid="{7961022A-8B74-450B-938A-B727081B1BDD}">
      <formula1>OtherMaterials</formula1>
    </dataValidation>
  </dataValidations>
  <pageMargins left="0.7" right="0.7" top="0.75" bottom="0.75" header="0.3" footer="0.3"/>
  <ignoredErrors>
    <ignoredError sqref="C4:E6 C54:E60 C64:E66 C70:E79 C10:E21 C50:E50 C25:E39 C43:E48 C49:G4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5689F-3BDD-43E7-87D5-6CC59FB49941}">
  <sheetPr>
    <tabColor rgb="FF003087"/>
  </sheetPr>
  <dimension ref="A1:N68"/>
  <sheetViews>
    <sheetView showGridLines="0" zoomScaleNormal="100" workbookViewId="0">
      <selection activeCell="D17" sqref="D17"/>
    </sheetView>
  </sheetViews>
  <sheetFormatPr defaultColWidth="8.88671875" defaultRowHeight="14.4" x14ac:dyDescent="0.3"/>
  <cols>
    <col min="1" max="1" width="4.6640625" style="17" customWidth="1"/>
    <col min="2" max="2" width="35" style="17" customWidth="1"/>
    <col min="3" max="3" width="32.6640625" style="17" customWidth="1"/>
    <col min="4" max="4" width="34.6640625" style="17" customWidth="1"/>
    <col min="5" max="6" width="12.6640625" style="17" customWidth="1"/>
    <col min="7" max="7" width="17.6640625" style="17" customWidth="1"/>
    <col min="8" max="11" width="11.6640625" style="17" customWidth="1"/>
    <col min="12" max="13" width="8.88671875" style="17"/>
    <col min="14" max="14" width="16.109375" style="17" customWidth="1"/>
    <col min="15" max="16384" width="8.88671875" style="17"/>
  </cols>
  <sheetData>
    <row r="1" spans="1:14" ht="18.600000000000001" thickBot="1" x14ac:dyDescent="0.4">
      <c r="B1" s="208" t="s">
        <v>89</v>
      </c>
      <c r="C1" s="208"/>
      <c r="D1" s="208"/>
      <c r="E1" s="208"/>
      <c r="F1" s="208"/>
      <c r="G1" s="208"/>
      <c r="H1" s="208"/>
      <c r="I1" s="208"/>
      <c r="J1" s="208"/>
      <c r="K1" s="208"/>
      <c r="L1" s="208"/>
      <c r="M1" s="208"/>
      <c r="N1" s="208"/>
    </row>
    <row r="3" spans="1:14" x14ac:dyDescent="0.3">
      <c r="B3" s="221" t="s">
        <v>90</v>
      </c>
      <c r="C3" s="221"/>
      <c r="D3" s="221"/>
      <c r="E3" s="221"/>
      <c r="F3" s="221"/>
      <c r="G3" s="221"/>
      <c r="H3" s="221"/>
      <c r="I3" s="221"/>
      <c r="J3" s="221"/>
      <c r="K3" s="221"/>
      <c r="L3" s="221"/>
      <c r="M3" s="221"/>
      <c r="N3" s="221"/>
    </row>
    <row r="4" spans="1:14" ht="45" customHeight="1" x14ac:dyDescent="0.3">
      <c r="A4" s="27"/>
      <c r="B4" s="25" t="s">
        <v>91</v>
      </c>
      <c r="C4" s="25" t="s">
        <v>92</v>
      </c>
      <c r="D4" s="30" t="s">
        <v>93</v>
      </c>
      <c r="E4" s="31" t="s">
        <v>94</v>
      </c>
      <c r="F4" s="31" t="s">
        <v>95</v>
      </c>
      <c r="G4" s="177" t="s">
        <v>96</v>
      </c>
      <c r="H4" s="33" t="s">
        <v>97</v>
      </c>
      <c r="I4" s="34" t="s">
        <v>98</v>
      </c>
      <c r="J4" s="34" t="s">
        <v>99</v>
      </c>
      <c r="K4" s="32" t="s">
        <v>100</v>
      </c>
      <c r="L4" s="33" t="s">
        <v>101</v>
      </c>
      <c r="M4" s="34" t="s">
        <v>102</v>
      </c>
      <c r="N4" s="34" t="s">
        <v>103</v>
      </c>
    </row>
    <row r="5" spans="1:14" x14ac:dyDescent="0.3">
      <c r="B5" s="99" t="s">
        <v>610</v>
      </c>
      <c r="C5" s="84" t="s">
        <v>456</v>
      </c>
      <c r="D5" s="84" t="s">
        <v>472</v>
      </c>
      <c r="E5" s="172">
        <f>IFERROR(((43560*Planted_Acres)/VLOOKUP(D5,ImplementTable[],3,0))/(5280*VLOOKUP(D5,ImplementTable[],4,0))*1.1,"")</f>
        <v>11.55</v>
      </c>
      <c r="F5" s="172">
        <f>IFERROR(0.5+(E5*0.2),"")</f>
        <v>2.81</v>
      </c>
      <c r="G5" s="100" t="s">
        <v>181</v>
      </c>
      <c r="H5" s="101">
        <f>IFERROR(((IF(E5="",0,E5)+IF(F5="",0,F5))/Planted_Acres)*VLOOKUP(G5,LaborTable[],4,0),"")</f>
        <v>1.9976811428571428</v>
      </c>
      <c r="I5" s="88">
        <f>IFERROR(VLOOKUP(VLOOKUP(C5,TractorTable[],3,0),FuelTable[],2,0)*VLOOKUP(C5,TractorTable[],15,0)*(E5/Planted_Acres),"")</f>
        <v>3.4586434575</v>
      </c>
      <c r="J5" s="88">
        <f>IFERROR((IF(ISBLANK(C5),0,(VLOOKUP(C5,TractorTable[],14,0)))+IF(ISBLANK(D5),0,VLOOKUP(D5,ImplementTable[],14,0)))*(E5/Planted_Acres),"")</f>
        <v>4.0083492700588934</v>
      </c>
      <c r="K5" s="102">
        <f>SUM(H5:J5)</f>
        <v>9.4646738704160356</v>
      </c>
      <c r="L5" s="103">
        <v>1</v>
      </c>
      <c r="M5" s="88">
        <f>K5*L5</f>
        <v>9.4646738704160356</v>
      </c>
      <c r="N5" s="88">
        <f>IFERROR((IF(ISBLANK(C5),0,VLOOKUP(C5,TractorTable[],13,0))+IF(ISBLANK(D5),0,VLOOKUP(D5,ImplementTable[],13,0)))*((E5*L5)/Planted_Acres),"")</f>
        <v>13.930433561877154</v>
      </c>
    </row>
    <row r="6" spans="1:14" x14ac:dyDescent="0.3">
      <c r="B6" s="84" t="s">
        <v>637</v>
      </c>
      <c r="C6" s="84" t="s">
        <v>454</v>
      </c>
      <c r="D6" s="84" t="s">
        <v>540</v>
      </c>
      <c r="E6" s="172">
        <f>IFERROR(((43560*Planted_Acres)/VLOOKUP(D6,ImplementTable[],3,0))/(5280*VLOOKUP(D6,ImplementTable[],4,0))*1.1,"")</f>
        <v>3.63</v>
      </c>
      <c r="F6" s="172">
        <f t="shared" ref="F6:F24" si="0">IFERROR(0.5+(E6*0.2),"")</f>
        <v>1.226</v>
      </c>
      <c r="G6" s="100" t="s">
        <v>181</v>
      </c>
      <c r="H6" s="101">
        <f>IFERROR(((IF(E6="",0,E6)+IF(F6="",0,F6))/Planted_Acres)*VLOOKUP(G6,LaborTable[],4,0),"")</f>
        <v>0.67553897142857133</v>
      </c>
      <c r="I6" s="88">
        <f>IFERROR(VLOOKUP(VLOOKUP(C6,TractorTable[],3,0),FuelTable[],2,0)*VLOOKUP(C6,TractorTable[],15,0)*(E6/Planted_Acres),"")</f>
        <v>0.88084663424999998</v>
      </c>
      <c r="J6" s="88">
        <f>IFERROR((IF(ISBLANK(C6),0,(VLOOKUP(C6,TractorTable[],14,0)))+IF(ISBLANK(D6),0,VLOOKUP(D6,ImplementTable[],14,0)))*(E6/Planted_Acres),"")</f>
        <v>1.3492558625149373</v>
      </c>
      <c r="K6" s="102">
        <f t="shared" ref="K6:K24" si="1">SUM(H6:J6)</f>
        <v>2.905641468193509</v>
      </c>
      <c r="L6" s="103">
        <v>1</v>
      </c>
      <c r="M6" s="88">
        <f t="shared" ref="M6:M24" si="2">K6*L6</f>
        <v>2.905641468193509</v>
      </c>
      <c r="N6" s="88">
        <f>IFERROR((IF(ISBLANK(C6),0,VLOOKUP(C6,TractorTable[],13,0))+IF(ISBLANK(D6),0,VLOOKUP(D6,ImplementTable[],13,0)))*((E6*L6)/Planted_Acres),"")</f>
        <v>3.2529102661435658</v>
      </c>
    </row>
    <row r="7" spans="1:14" x14ac:dyDescent="0.3">
      <c r="B7" s="99" t="s">
        <v>638</v>
      </c>
      <c r="C7" s="84" t="s">
        <v>454</v>
      </c>
      <c r="D7" s="84" t="s">
        <v>495</v>
      </c>
      <c r="E7" s="172">
        <f>IFERROR(((43560*Planted_Acres)/VLOOKUP(D7,ImplementTable[],3,0))/(5280*VLOOKUP(D7,ImplementTable[],4,0))*1.1,"")</f>
        <v>6.4821428571428577</v>
      </c>
      <c r="F7" s="172">
        <f t="shared" si="0"/>
        <v>1.7964285714285717</v>
      </c>
      <c r="G7" s="100" t="s">
        <v>181</v>
      </c>
      <c r="H7" s="101">
        <f>IFERROR(((IF(E7="",0,E7)+IF(F7="",0,F7))/Planted_Acres)*VLOOKUP(G7,LaborTable[],4,0),"")</f>
        <v>1.1516675510204082</v>
      </c>
      <c r="I7" s="88">
        <f>IFERROR(VLOOKUP(VLOOKUP(C7,TractorTable[],3,0),FuelTable[],2,0)*VLOOKUP(C7,TractorTable[],15,0)*(E7/Planted_Acres),"")</f>
        <v>1.5729404183035716</v>
      </c>
      <c r="J7" s="88">
        <f>IFERROR((IF(ISBLANK(C7),0,(VLOOKUP(C7,TractorTable[],14,0)))+IF(ISBLANK(D7),0,VLOOKUP(D7,ImplementTable[],14,0)))*(E7/Planted_Acres),"")</f>
        <v>1.8910988476370483</v>
      </c>
      <c r="K7" s="102">
        <f t="shared" si="1"/>
        <v>4.615706816961028</v>
      </c>
      <c r="L7" s="103">
        <v>1</v>
      </c>
      <c r="M7" s="88">
        <f t="shared" si="2"/>
        <v>4.615706816961028</v>
      </c>
      <c r="N7" s="88">
        <f>IFERROR((IF(ISBLANK(C7),0,VLOOKUP(C7,TractorTable[],13,0))+IF(ISBLANK(D7),0,VLOOKUP(D7,ImplementTable[],13,0)))*((E7*L7)/Planted_Acres),"")</f>
        <v>5.8583661837286876</v>
      </c>
    </row>
    <row r="8" spans="1:14" x14ac:dyDescent="0.3">
      <c r="B8" s="84" t="s">
        <v>632</v>
      </c>
      <c r="C8" s="84" t="s">
        <v>442</v>
      </c>
      <c r="D8" s="84"/>
      <c r="E8" s="172">
        <f>2+0.5</f>
        <v>2.5</v>
      </c>
      <c r="F8" s="172">
        <f t="shared" ref="F8:F11" si="3">IFERROR(0.5+(E8*0.2),"")</f>
        <v>1</v>
      </c>
      <c r="G8" s="100" t="s">
        <v>181</v>
      </c>
      <c r="H8" s="101">
        <f>IFERROR(((IF(E8="",0,E8)+IF(F8="",0,F8))/Planted_Acres)*VLOOKUP(G8,LaborTable[],4,0),"")</f>
        <v>0.4869</v>
      </c>
      <c r="I8" s="88">
        <f>IFERROR(VLOOKUP(VLOOKUP(C8,TractorTable[],3,0),FuelTable[],2,0)*VLOOKUP(C8,TractorTable[],15,0)*(E8/Planted_Acres),"")</f>
        <v>0.61955099999999996</v>
      </c>
      <c r="J8" s="88">
        <f>IFERROR((IF(ISBLANK(C8),0,(VLOOKUP(C8,TractorTable[],14,0)))+IF(ISBLANK(D8),0,VLOOKUP(D8,ImplementTable[],14,0)))*(E8/Planted_Acres),"")</f>
        <v>0.14726828571428574</v>
      </c>
      <c r="K8" s="102">
        <f t="shared" si="1"/>
        <v>1.2537192857142856</v>
      </c>
      <c r="L8" s="103">
        <v>1</v>
      </c>
      <c r="M8" s="88">
        <f t="shared" si="2"/>
        <v>1.2537192857142856</v>
      </c>
      <c r="N8" s="88">
        <f>IFERROR((IF(ISBLANK(C8),0,VLOOKUP(C8,TractorTable[],13,0))+IF(ISBLANK(D8),0,VLOOKUP(D8,ImplementTable[],13,0)))*((E8*L8)/Planted_Acres),"")</f>
        <v>2.5181842002836139</v>
      </c>
    </row>
    <row r="9" spans="1:14" x14ac:dyDescent="0.3">
      <c r="B9" s="84" t="s">
        <v>633</v>
      </c>
      <c r="C9" s="84" t="s">
        <v>454</v>
      </c>
      <c r="D9" s="84" t="s">
        <v>540</v>
      </c>
      <c r="E9" s="172">
        <f>IFERROR(((43560*Planted_Acres)/VLOOKUP(D9,ImplementTable[],3,0))/(5280*VLOOKUP(D9,ImplementTable[],4,0))*1.1,"")</f>
        <v>3.63</v>
      </c>
      <c r="F9" s="172">
        <f t="shared" si="3"/>
        <v>1.226</v>
      </c>
      <c r="G9" s="100" t="s">
        <v>181</v>
      </c>
      <c r="H9" s="101">
        <f>IFERROR(((IF(E9="",0,E9)+IF(F9="",0,F9))/Planted_Acres)*VLOOKUP(G9,LaborTable[],4,0),"")</f>
        <v>0.67553897142857133</v>
      </c>
      <c r="I9" s="88">
        <f>IFERROR(VLOOKUP(VLOOKUP(C9,TractorTable[],3,0),FuelTable[],2,0)*VLOOKUP(C9,TractorTable[],15,0)*(E9/Planted_Acres),"")</f>
        <v>0.88084663424999998</v>
      </c>
      <c r="J9" s="88">
        <f>IFERROR((IF(ISBLANK(C9),0,(VLOOKUP(C9,TractorTable[],14,0)))+IF(ISBLANK(D9),0,VLOOKUP(D9,ImplementTable[],14,0)))*(E9/Planted_Acres),"")</f>
        <v>1.3492558625149373</v>
      </c>
      <c r="K9" s="102">
        <f t="shared" si="1"/>
        <v>2.905641468193509</v>
      </c>
      <c r="L9" s="103">
        <v>3</v>
      </c>
      <c r="M9" s="88">
        <f t="shared" si="2"/>
        <v>8.7169244045805279</v>
      </c>
      <c r="N9" s="88">
        <f>IFERROR((IF(ISBLANK(C9),0,VLOOKUP(C9,TractorTable[],13,0))+IF(ISBLANK(D9),0,VLOOKUP(D9,ImplementTable[],13,0)))*((E9*L9)/Planted_Acres),"")</f>
        <v>9.7587307984306992</v>
      </c>
    </row>
    <row r="10" spans="1:14" x14ac:dyDescent="0.3">
      <c r="B10" s="84" t="s">
        <v>611</v>
      </c>
      <c r="C10" s="84" t="s">
        <v>442</v>
      </c>
      <c r="D10" s="84"/>
      <c r="E10" s="172">
        <f>2+0.5</f>
        <v>2.5</v>
      </c>
      <c r="F10" s="172">
        <f t="shared" si="3"/>
        <v>1</v>
      </c>
      <c r="G10" s="100" t="s">
        <v>181</v>
      </c>
      <c r="H10" s="101">
        <f>IFERROR(((IF(E10="",0,E10)+IF(F10="",0,F10))/Planted_Acres)*VLOOKUP(G10,LaborTable[],4,0),"")</f>
        <v>0.4869</v>
      </c>
      <c r="I10" s="88">
        <f>IFERROR(VLOOKUP(VLOOKUP(C10,TractorTable[],3,0),FuelTable[],2,0)*VLOOKUP(C10,TractorTable[],15,0)*(E10/Planted_Acres),"")</f>
        <v>0.61955099999999996</v>
      </c>
      <c r="J10" s="88">
        <f>IFERROR((IF(ISBLANK(C10),0,(VLOOKUP(C10,TractorTable[],14,0)))+IF(ISBLANK(D10),0,VLOOKUP(D10,ImplementTable[],14,0)))*(E10/Planted_Acres),"")</f>
        <v>0.14726828571428574</v>
      </c>
      <c r="K10" s="102">
        <f t="shared" si="1"/>
        <v>1.2537192857142856</v>
      </c>
      <c r="L10" s="103">
        <v>10</v>
      </c>
      <c r="M10" s="88">
        <f t="shared" si="2"/>
        <v>12.537192857142855</v>
      </c>
      <c r="N10" s="88">
        <f>IFERROR((IF(ISBLANK(C10),0,VLOOKUP(C10,TractorTable[],13,0))+IF(ISBLANK(D10),0,VLOOKUP(D10,ImplementTable[],13,0)))*((E10*L10)/Planted_Acres),"")</f>
        <v>25.181842002836142</v>
      </c>
    </row>
    <row r="11" spans="1:14" x14ac:dyDescent="0.3">
      <c r="B11" s="84" t="s">
        <v>641</v>
      </c>
      <c r="C11" s="84" t="s">
        <v>453</v>
      </c>
      <c r="D11" s="84" t="s">
        <v>640</v>
      </c>
      <c r="E11" s="172">
        <v>2</v>
      </c>
      <c r="F11" s="172">
        <f t="shared" si="3"/>
        <v>0.9</v>
      </c>
      <c r="G11" s="100" t="s">
        <v>181</v>
      </c>
      <c r="H11" s="101">
        <f>IFERROR(((IF(E11="",0,E11)+IF(F11="",0,F11))/Planted_Acres)*VLOOKUP(G11,LaborTable[],4,0),"")</f>
        <v>0.40343142857142855</v>
      </c>
      <c r="I11" s="88">
        <f>IFERROR(VLOOKUP(VLOOKUP(C11,TractorTable[],3,0),FuelTable[],2,0)*VLOOKUP(C11,TractorTable[],15,0)*(E11/Planted_Acres),"")</f>
        <v>0.43368570000000001</v>
      </c>
      <c r="J11" s="88">
        <f>IFERROR((IF(ISBLANK(C11),0,(VLOOKUP(C11,TractorTable[],14,0)))+IF(ISBLANK(D11),0,VLOOKUP(D11,ImplementTable[],14,0)))*(E11/Planted_Acres),"")</f>
        <v>0.30310713480014423</v>
      </c>
      <c r="K11" s="102">
        <f t="shared" si="1"/>
        <v>1.1402242633715727</v>
      </c>
      <c r="L11" s="103">
        <v>10</v>
      </c>
      <c r="M11" s="88">
        <f t="shared" si="2"/>
        <v>11.402242633715726</v>
      </c>
      <c r="N11" s="88">
        <f>IFERROR((IF(ISBLANK(C11),0,VLOOKUP(C11,TractorTable[],13,0))+IF(ISBLANK(D11),0,VLOOKUP(D11,ImplementTable[],13,0)))*((E11*L11)/Planted_Acres),"")</f>
        <v>8.3164578013127031</v>
      </c>
    </row>
    <row r="12" spans="1:14" x14ac:dyDescent="0.3">
      <c r="B12" s="84" t="s">
        <v>612</v>
      </c>
      <c r="C12" s="84" t="s">
        <v>460</v>
      </c>
      <c r="D12" s="84" t="s">
        <v>546</v>
      </c>
      <c r="E12" s="172">
        <f>IFERROR(((43560*Planted_Acres)/VLOOKUP(D12,ImplementTable[],3,0))/(5280*VLOOKUP(D12,ImplementTable[],4,0))*1.1,"")</f>
        <v>8.4700000000000006</v>
      </c>
      <c r="F12" s="172">
        <f t="shared" ref="F12:F16" si="4">IFERROR(0.5+(E12*0.2),"")</f>
        <v>2.194</v>
      </c>
      <c r="G12" s="100" t="s">
        <v>181</v>
      </c>
      <c r="H12" s="101">
        <f>IFERROR(((IF(E12="",0,E12)+IF(F12="",0,F12))/Planted_Acres)*VLOOKUP(G12,LaborTable[],4,0),"")</f>
        <v>1.4835147428571431</v>
      </c>
      <c r="I12" s="88">
        <f>IFERROR(VLOOKUP(VLOOKUP(C12,TractorTable[],3,0),FuelTable[],2,0)*VLOOKUP(C12,TractorTable[],15,0)*(E12/Planted_Acres),"")</f>
        <v>3.4109380305000001</v>
      </c>
      <c r="J12" s="88">
        <f>IFERROR((IF(ISBLANK(C12),0,(VLOOKUP(C12,TractorTable[],14,0)))+IF(ISBLANK(D12),0,VLOOKUP(D12,ImplementTable[],14,0)))*(E12/Planted_Acres),"")</f>
        <v>4.706305783782633</v>
      </c>
      <c r="K12" s="102">
        <f t="shared" si="1"/>
        <v>9.6007585571397769</v>
      </c>
      <c r="L12" s="103">
        <v>1</v>
      </c>
      <c r="M12" s="88">
        <f t="shared" si="2"/>
        <v>9.6007585571397769</v>
      </c>
      <c r="N12" s="88">
        <f>IFERROR((IF(ISBLANK(C12),0,VLOOKUP(C12,TractorTable[],13,0))+IF(ISBLANK(D12),0,VLOOKUP(D12,ImplementTable[],13,0)))*((E12*L12)/Planted_Acres),"")</f>
        <v>14.153840206761156</v>
      </c>
    </row>
    <row r="13" spans="1:14" x14ac:dyDescent="0.3">
      <c r="B13" s="84"/>
      <c r="C13" s="84"/>
      <c r="D13" s="84" t="s">
        <v>511</v>
      </c>
      <c r="E13" s="172">
        <f>IFERROR(((43560*Planted_Acres)/VLOOKUP(D13,ImplementTable[],3,0))/(5280*VLOOKUP(D13,ImplementTable[],4,0))*1.1,"")</f>
        <v>8.4700000000000006</v>
      </c>
      <c r="F13" s="172">
        <f t="shared" si="4"/>
        <v>2.194</v>
      </c>
      <c r="G13" s="100"/>
      <c r="H13" s="101" t="str">
        <f>IFERROR(((IF(E13="",0,E13)+IF(F13="",0,F13))/Planted_Acres)*VLOOKUP(G13,LaborTable[],4,0),"")</f>
        <v/>
      </c>
      <c r="I13" s="88" t="str">
        <f>IFERROR(VLOOKUP(VLOOKUP(C13,TractorTable[],3,0),FuelTable[],2,0)*VLOOKUP(C13,TractorTable[],15,0)*(E13/Planted_Acres),"")</f>
        <v/>
      </c>
      <c r="J13" s="88">
        <f>IFERROR((IF(ISBLANK(C13),0,(VLOOKUP(C13,TractorTable[],14,0)))+IF(ISBLANK(D13),0,VLOOKUP(D13,ImplementTable[],14,0)))*(E13/Planted_Acres),"")</f>
        <v>5.8219444282150929</v>
      </c>
      <c r="K13" s="102">
        <f t="shared" si="1"/>
        <v>5.8219444282150929</v>
      </c>
      <c r="L13" s="103">
        <v>1</v>
      </c>
      <c r="M13" s="88">
        <f t="shared" si="2"/>
        <v>5.8219444282150929</v>
      </c>
      <c r="N13" s="88">
        <f>IFERROR((IF(ISBLANK(C13),0,VLOOKUP(C13,TractorTable[],13,0))+IF(ISBLANK(D13),0,VLOOKUP(D13,ImplementTable[],13,0)))*((E13*L13)/Planted_Acres),"")</f>
        <v>17.311763856888941</v>
      </c>
    </row>
    <row r="14" spans="1:14" x14ac:dyDescent="0.3">
      <c r="B14" s="84" t="s">
        <v>613</v>
      </c>
      <c r="C14" s="84" t="s">
        <v>455</v>
      </c>
      <c r="D14" s="84" t="s">
        <v>509</v>
      </c>
      <c r="E14" s="172">
        <f>IFERROR(((43560*Planted_Acres)/VLOOKUP(D14,ImplementTable[],3,0))/(5280*VLOOKUP(D14,ImplementTable[],4,0))*1.1,"")</f>
        <v>21.175000000000001</v>
      </c>
      <c r="F14" s="172">
        <f t="shared" si="4"/>
        <v>4.7350000000000003</v>
      </c>
      <c r="G14" s="100" t="s">
        <v>181</v>
      </c>
      <c r="H14" s="101">
        <f>IFERROR(((IF(E14="",0,E14)+IF(F14="",0,F14))/Planted_Acres)*VLOOKUP(G14,LaborTable[],4,0),"")</f>
        <v>3.6044511428571431</v>
      </c>
      <c r="I14" s="88">
        <f>IFERROR(VLOOKUP(VLOOKUP(C14,TractorTable[],3,0),FuelTable[],2,0)*VLOOKUP(C14,TractorTable[],15,0)*(E14/Planted_Acres),"")</f>
        <v>5.6848967175</v>
      </c>
      <c r="J14" s="88">
        <f>IFERROR((IF(ISBLANK(C14),0,(VLOOKUP(C14,TractorTable[],14,0)))+IF(ISBLANK(D14),0,VLOOKUP(D14,ImplementTable[],14,0)))*(E14/Planted_Acres),"")</f>
        <v>6.1120274758945081</v>
      </c>
      <c r="K14" s="102">
        <f t="shared" si="1"/>
        <v>15.40137533625165</v>
      </c>
      <c r="L14" s="103">
        <v>1</v>
      </c>
      <c r="M14" s="88">
        <f t="shared" si="2"/>
        <v>15.40137533625165</v>
      </c>
      <c r="N14" s="88">
        <f>IFERROR((IF(ISBLANK(C14),0,VLOOKUP(C14,TractorTable[],13,0))+IF(ISBLANK(D14),0,VLOOKUP(D14,ImplementTable[],13,0)))*((E14*L14)/Planted_Acres),"")</f>
        <v>20.993830635395394</v>
      </c>
    </row>
    <row r="15" spans="1:14" x14ac:dyDescent="0.3">
      <c r="B15" s="84" t="s">
        <v>614</v>
      </c>
      <c r="C15" s="84" t="s">
        <v>455</v>
      </c>
      <c r="D15" s="84" t="s">
        <v>507</v>
      </c>
      <c r="E15" s="172">
        <f>IFERROR(((43560*Planted_Acres)/VLOOKUP(D15,ImplementTable[],3,0))/(5280*VLOOKUP(D15,ImplementTable[],4,0))*1.1,"")</f>
        <v>21.175000000000001</v>
      </c>
      <c r="F15" s="172">
        <f t="shared" si="4"/>
        <v>4.7350000000000003</v>
      </c>
      <c r="G15" s="100" t="s">
        <v>181</v>
      </c>
      <c r="H15" s="101">
        <f>IFERROR(((IF(E15="",0,E15)+IF(F15="",0,F15))/Planted_Acres)*VLOOKUP(G15,LaborTable[],4,0),"")</f>
        <v>3.6044511428571431</v>
      </c>
      <c r="I15" s="88">
        <f>IFERROR(VLOOKUP(VLOOKUP(C15,TractorTable[],3,0),FuelTable[],2,0)*VLOOKUP(C15,TractorTable[],15,0)*(E15/Planted_Acres),"")</f>
        <v>5.6848967175</v>
      </c>
      <c r="J15" s="88">
        <f>IFERROR((IF(ISBLANK(C15),0,(VLOOKUP(C15,TractorTable[],14,0)))+IF(ISBLANK(D15),0,VLOOKUP(D15,ImplementTable[],14,0)))*(E15/Planted_Acres),"")</f>
        <v>16.488322255459053</v>
      </c>
      <c r="K15" s="102">
        <f t="shared" si="1"/>
        <v>25.777670115816196</v>
      </c>
      <c r="L15" s="103">
        <v>1</v>
      </c>
      <c r="M15" s="88">
        <f t="shared" si="2"/>
        <v>25.777670115816196</v>
      </c>
      <c r="N15" s="88">
        <f>IFERROR((IF(ISBLANK(C15),0,VLOOKUP(C15,TractorTable[],13,0))+IF(ISBLANK(D15),0,VLOOKUP(D15,ImplementTable[],13,0)))*((E15*L15)/Planted_Acres),"")</f>
        <v>61.396937748426396</v>
      </c>
    </row>
    <row r="16" spans="1:14" x14ac:dyDescent="0.3">
      <c r="B16" s="84" t="s">
        <v>630</v>
      </c>
      <c r="C16" s="84" t="s">
        <v>450</v>
      </c>
      <c r="D16" s="84"/>
      <c r="E16" s="172">
        <v>10.6</v>
      </c>
      <c r="F16" s="172">
        <f t="shared" si="4"/>
        <v>2.62</v>
      </c>
      <c r="G16" s="100" t="s">
        <v>181</v>
      </c>
      <c r="H16" s="101">
        <f>IFERROR(((IF(E16="",0,E16)+IF(F16="",0,F16))/Planted_Acres)*VLOOKUP(G16,LaborTable[],4,0),"")</f>
        <v>1.8390908571428568</v>
      </c>
      <c r="I16" s="88">
        <f>IFERROR(VLOOKUP(VLOOKUP(C16,TractorTable[],3,0),FuelTable[],2,0)*VLOOKUP(C16,TractorTable[],15,0)*(E16/Planted_Acres),"")</f>
        <v>1.7512641599999996</v>
      </c>
      <c r="J16" s="88">
        <f>IFERROR((IF(ISBLANK(C16),0,(VLOOKUP(C16,TractorTable[],14,0)))+IF(ISBLANK(D16),0,VLOOKUP(D16,ImplementTable[],14,0)))*(E16/Planted_Acres),"")</f>
        <v>0.94811245714285708</v>
      </c>
      <c r="K16" s="102">
        <f t="shared" si="1"/>
        <v>4.5384674742857136</v>
      </c>
      <c r="L16" s="103">
        <v>1</v>
      </c>
      <c r="M16" s="88">
        <f t="shared" si="2"/>
        <v>4.5384674742857136</v>
      </c>
      <c r="N16" s="88">
        <f>IFERROR((IF(ISBLANK(C16),0,VLOOKUP(C16,TractorTable[],13,0))+IF(ISBLANK(D16),0,VLOOKUP(D16,ImplementTable[],13,0)))*((E16*L16)/Planted_Acres),"")</f>
        <v>2.8155917602167886</v>
      </c>
    </row>
    <row r="17" spans="2:14" x14ac:dyDescent="0.3">
      <c r="B17" s="84"/>
      <c r="C17" s="84"/>
      <c r="D17" s="84"/>
      <c r="E17" s="172" t="str">
        <f>IFERROR(((43560*Planted_Acres)/VLOOKUP(D17,ImplementTable[],3,0))/(5280*VLOOKUP(D17,ImplementTable[],4,0))*1.1,"")</f>
        <v/>
      </c>
      <c r="F17" s="172" t="str">
        <f t="shared" si="0"/>
        <v/>
      </c>
      <c r="G17" s="100"/>
      <c r="H17" s="101" t="str">
        <f>IFERROR(((IF(E17="",0,E17)+IF(F17="",0,F17))/Planted_Acres)*VLOOKUP(G17,LaborTable[],4,0),"")</f>
        <v/>
      </c>
      <c r="I17" s="88" t="str">
        <f>IFERROR(VLOOKUP(VLOOKUP(C17,TractorTable[],3,0),FuelTable[],2,0)*VLOOKUP(C17,TractorTable[],15,0)*(E17/Planted_Acres),"")</f>
        <v/>
      </c>
      <c r="J17" s="88" t="str">
        <f>IFERROR((IF(ISBLANK(C17),0,(VLOOKUP(C17,TractorTable[],14,0)))+IF(ISBLANK(D17),0,VLOOKUP(D17,ImplementTable[],14,0)))*(E17/Planted_Acres),"")</f>
        <v/>
      </c>
      <c r="K17" s="102">
        <f t="shared" si="1"/>
        <v>0</v>
      </c>
      <c r="L17" s="103"/>
      <c r="M17" s="88">
        <f t="shared" si="2"/>
        <v>0</v>
      </c>
      <c r="N17" s="88" t="str">
        <f>IFERROR((IF(ISBLANK(C17),0,VLOOKUP(C17,TractorTable[],13,0))+IF(ISBLANK(D17),0,VLOOKUP(D17,ImplementTable[],13,0)))*((E17*L17)/Planted_Acres),"")</f>
        <v/>
      </c>
    </row>
    <row r="18" spans="2:14" x14ac:dyDescent="0.3">
      <c r="B18" s="84"/>
      <c r="C18" s="84"/>
      <c r="D18" s="84"/>
      <c r="E18" s="172" t="str">
        <f>IFERROR(((43560*Planted_Acres)/VLOOKUP(D18,ImplementTable[],3,0))/(5280*VLOOKUP(D18,ImplementTable[],4,0))*1.1,"")</f>
        <v/>
      </c>
      <c r="F18" s="172" t="str">
        <f t="shared" si="0"/>
        <v/>
      </c>
      <c r="G18" s="100"/>
      <c r="H18" s="101" t="str">
        <f>IFERROR(((IF(E18="",0,E18)+IF(F18="",0,F18))/Planted_Acres)*VLOOKUP(G18,LaborTable[],4,0),"")</f>
        <v/>
      </c>
      <c r="I18" s="88" t="str">
        <f>IFERROR(VLOOKUP(VLOOKUP(C18,TractorTable[],3,0),FuelTable[],2,0)*VLOOKUP(C18,TractorTable[],15,0)*(E18/Planted_Acres),"")</f>
        <v/>
      </c>
      <c r="J18" s="88" t="str">
        <f>IFERROR((IF(ISBLANK(C18),0,(VLOOKUP(C18,TractorTable[],14,0)))+IF(ISBLANK(D18),0,VLOOKUP(D18,ImplementTable[],14,0)))*(E18/Planted_Acres),"")</f>
        <v/>
      </c>
      <c r="K18" s="102">
        <f t="shared" si="1"/>
        <v>0</v>
      </c>
      <c r="L18" s="103"/>
      <c r="M18" s="88">
        <f t="shared" si="2"/>
        <v>0</v>
      </c>
      <c r="N18" s="88" t="str">
        <f>IFERROR((IF(ISBLANK(C18),0,VLOOKUP(C18,TractorTable[],13,0))+IF(ISBLANK(D18),0,VLOOKUP(D18,ImplementTable[],13,0)))*((E18*L18)/Planted_Acres),"")</f>
        <v/>
      </c>
    </row>
    <row r="19" spans="2:14" x14ac:dyDescent="0.3">
      <c r="B19" s="84"/>
      <c r="C19" s="84"/>
      <c r="D19" s="84"/>
      <c r="E19" s="172" t="str">
        <f>IFERROR(((43560*Planted_Acres)/VLOOKUP(D19,ImplementTable[],3,0))/(5280*VLOOKUP(D19,ImplementTable[],4,0))*1.1,"")</f>
        <v/>
      </c>
      <c r="F19" s="172" t="str">
        <f t="shared" si="0"/>
        <v/>
      </c>
      <c r="G19" s="100"/>
      <c r="H19" s="101" t="str">
        <f>IFERROR(((IF(E19="",0,E19)+IF(F19="",0,F19))/Planted_Acres)*VLOOKUP(G19,LaborTable[],4,0),"")</f>
        <v/>
      </c>
      <c r="I19" s="88" t="str">
        <f>IFERROR(VLOOKUP(VLOOKUP(C19,TractorTable[],3,0),FuelTable[],2,0)*VLOOKUP(C19,TractorTable[],15,0)*(E19/Planted_Acres),"")</f>
        <v/>
      </c>
      <c r="J19" s="88" t="str">
        <f>IFERROR((IF(ISBLANK(C19),0,(VLOOKUP(C19,TractorTable[],14,0)))+IF(ISBLANK(D19),0,VLOOKUP(D19,ImplementTable[],14,0)))*(E19/Planted_Acres),"")</f>
        <v/>
      </c>
      <c r="K19" s="102">
        <f t="shared" si="1"/>
        <v>0</v>
      </c>
      <c r="L19" s="103"/>
      <c r="M19" s="88">
        <f t="shared" si="2"/>
        <v>0</v>
      </c>
      <c r="N19" s="88" t="str">
        <f>IFERROR((IF(ISBLANK(C19),0,VLOOKUP(C19,TractorTable[],13,0))+IF(ISBLANK(D19),0,VLOOKUP(D19,ImplementTable[],13,0)))*((E19*L19)/Planted_Acres),"")</f>
        <v/>
      </c>
    </row>
    <row r="20" spans="2:14" x14ac:dyDescent="0.3">
      <c r="B20" s="84"/>
      <c r="C20" s="84"/>
      <c r="D20" s="84"/>
      <c r="E20" s="172" t="str">
        <f>IFERROR(((43560*Planted_Acres)/VLOOKUP(D20,ImplementTable[],3,0))/(5280*VLOOKUP(D20,ImplementTable[],4,0))*1.1,"")</f>
        <v/>
      </c>
      <c r="F20" s="172" t="str">
        <f t="shared" si="0"/>
        <v/>
      </c>
      <c r="G20" s="100"/>
      <c r="H20" s="101" t="str">
        <f>IFERROR(((IF(E20="",0,E20)+IF(F20="",0,F20))/Planted_Acres)*VLOOKUP(G20,LaborTable[],4,0),"")</f>
        <v/>
      </c>
      <c r="I20" s="88" t="str">
        <f>IFERROR(VLOOKUP(VLOOKUP(C20,TractorTable[],3,0),FuelTable[],2,0)*VLOOKUP(C20,TractorTable[],15,0)*(E20/Planted_Acres),"")</f>
        <v/>
      </c>
      <c r="J20" s="88" t="str">
        <f>IFERROR((IF(ISBLANK(C20),0,(VLOOKUP(C20,TractorTable[],14,0)))+IF(ISBLANK(D20),0,VLOOKUP(D20,ImplementTable[],14,0)))*(E20/Planted_Acres),"")</f>
        <v/>
      </c>
      <c r="K20" s="102">
        <f t="shared" si="1"/>
        <v>0</v>
      </c>
      <c r="L20" s="103"/>
      <c r="M20" s="88">
        <f t="shared" si="2"/>
        <v>0</v>
      </c>
      <c r="N20" s="88" t="str">
        <f>IFERROR((IF(ISBLANK(C20),0,VLOOKUP(C20,TractorTable[],13,0))+IF(ISBLANK(D20),0,VLOOKUP(D20,ImplementTable[],13,0)))*((E20*L20)/Planted_Acres),"")</f>
        <v/>
      </c>
    </row>
    <row r="21" spans="2:14" x14ac:dyDescent="0.3">
      <c r="B21" s="84"/>
      <c r="C21" s="84"/>
      <c r="D21" s="84"/>
      <c r="E21" s="172" t="str">
        <f>IFERROR(((43560*Planted_Acres)/VLOOKUP(D21,ImplementTable[],3,0))/(5280*VLOOKUP(D21,ImplementTable[],4,0))*1.1,"")</f>
        <v/>
      </c>
      <c r="F21" s="172" t="str">
        <f t="shared" si="0"/>
        <v/>
      </c>
      <c r="G21" s="100"/>
      <c r="H21" s="101" t="str">
        <f>IFERROR(((IF(E21="",0,E21)+IF(F21="",0,F21))/Planted_Acres)*VLOOKUP(G21,LaborTable[],4,0),"")</f>
        <v/>
      </c>
      <c r="I21" s="88" t="str">
        <f>IFERROR(VLOOKUP(VLOOKUP(C21,TractorTable[],3,0),FuelTable[],2,0)*VLOOKUP(C21,TractorTable[],15,0)*(E21/Planted_Acres),"")</f>
        <v/>
      </c>
      <c r="J21" s="88" t="str">
        <f>IFERROR((IF(ISBLANK(C21),0,(VLOOKUP(C21,TractorTable[],14,0)))+IF(ISBLANK(D21),0,VLOOKUP(D21,ImplementTable[],14,0)))*(E21/Planted_Acres),"")</f>
        <v/>
      </c>
      <c r="K21" s="102">
        <f t="shared" si="1"/>
        <v>0</v>
      </c>
      <c r="L21" s="103"/>
      <c r="M21" s="88">
        <f t="shared" si="2"/>
        <v>0</v>
      </c>
      <c r="N21" s="88" t="str">
        <f>IFERROR((IF(ISBLANK(C21),0,VLOOKUP(C21,TractorTable[],13,0))+IF(ISBLANK(D21),0,VLOOKUP(D21,ImplementTable[],13,0)))*((E21*L21)/Planted_Acres),"")</f>
        <v/>
      </c>
    </row>
    <row r="22" spans="2:14" x14ac:dyDescent="0.3">
      <c r="B22" s="84"/>
      <c r="C22" s="84"/>
      <c r="D22" s="84"/>
      <c r="E22" s="172" t="str">
        <f>IFERROR(((43560*Planted_Acres)/VLOOKUP(D22,ImplementTable[],3,0))/(5280*VLOOKUP(D22,ImplementTable[],4,0))*1.1,"")</f>
        <v/>
      </c>
      <c r="F22" s="172" t="str">
        <f t="shared" si="0"/>
        <v/>
      </c>
      <c r="G22" s="100"/>
      <c r="H22" s="101" t="str">
        <f>IFERROR(((IF(E22="",0,E22)+IF(F22="",0,F22))/Planted_Acres)*VLOOKUP(G22,LaborTable[],4,0),"")</f>
        <v/>
      </c>
      <c r="I22" s="88" t="str">
        <f>IFERROR(VLOOKUP(VLOOKUP(C22,TractorTable[],3,0),FuelTable[],2,0)*VLOOKUP(C22,TractorTable[],15,0)*(E22/Planted_Acres),"")</f>
        <v/>
      </c>
      <c r="J22" s="88" t="str">
        <f>IFERROR((IF(ISBLANK(C22),0,(VLOOKUP(C22,TractorTable[],14,0)))+IF(ISBLANK(D22),0,VLOOKUP(D22,ImplementTable[],14,0)))*(E22/Planted_Acres),"")</f>
        <v/>
      </c>
      <c r="K22" s="102">
        <f t="shared" si="1"/>
        <v>0</v>
      </c>
      <c r="L22" s="103"/>
      <c r="M22" s="88">
        <f t="shared" si="2"/>
        <v>0</v>
      </c>
      <c r="N22" s="88" t="str">
        <f>IFERROR((IF(ISBLANK(C22),0,VLOOKUP(C22,TractorTable[],13,0))+IF(ISBLANK(D22),0,VLOOKUP(D22,ImplementTable[],13,0)))*((E22*L22)/Planted_Acres),"")</f>
        <v/>
      </c>
    </row>
    <row r="23" spans="2:14" x14ac:dyDescent="0.3">
      <c r="B23" s="84"/>
      <c r="C23" s="84"/>
      <c r="D23" s="84"/>
      <c r="E23" s="172" t="str">
        <f>IFERROR(((43560*Planted_Acres)/VLOOKUP(D23,ImplementTable[],3,0))/(5280*VLOOKUP(D23,ImplementTable[],4,0))*1.1,"")</f>
        <v/>
      </c>
      <c r="F23" s="172" t="str">
        <f t="shared" si="0"/>
        <v/>
      </c>
      <c r="G23" s="100"/>
      <c r="H23" s="101" t="str">
        <f>IFERROR(((IF(E23="",0,E23)+IF(F23="",0,F23))/Planted_Acres)*VLOOKUP(G23,LaborTable[],4,0),"")</f>
        <v/>
      </c>
      <c r="I23" s="88" t="str">
        <f>IFERROR(VLOOKUP(VLOOKUP(C23,TractorTable[],3,0),FuelTable[],2,0)*VLOOKUP(C23,TractorTable[],15,0)*(E23/Planted_Acres),"")</f>
        <v/>
      </c>
      <c r="J23" s="88" t="str">
        <f>IFERROR((IF(ISBLANK(C23),0,(VLOOKUP(C23,TractorTable[],14,0)))+IF(ISBLANK(D23),0,VLOOKUP(D23,ImplementTable[],14,0)))*(E23/Planted_Acres),"")</f>
        <v/>
      </c>
      <c r="K23" s="102">
        <f t="shared" si="1"/>
        <v>0</v>
      </c>
      <c r="L23" s="103"/>
      <c r="M23" s="88">
        <f t="shared" si="2"/>
        <v>0</v>
      </c>
      <c r="N23" s="88" t="str">
        <f>IFERROR((IF(ISBLANK(C23),0,VLOOKUP(C23,TractorTable[],13,0))+IF(ISBLANK(D23),0,VLOOKUP(D23,ImplementTable[],13,0)))*((E23*L23)/Planted_Acres),"")</f>
        <v/>
      </c>
    </row>
    <row r="24" spans="2:14" ht="15" thickBot="1" x14ac:dyDescent="0.35">
      <c r="B24" s="104"/>
      <c r="C24" s="104"/>
      <c r="D24" s="104"/>
      <c r="E24" s="173" t="str">
        <f>IFERROR(((43560*Planted_Acres)/VLOOKUP(D24,ImplementTable[],3,0))/(5280*VLOOKUP(D24,ImplementTable[],4,0))*1.1,"")</f>
        <v/>
      </c>
      <c r="F24" s="173" t="str">
        <f t="shared" si="0"/>
        <v/>
      </c>
      <c r="G24" s="105"/>
      <c r="H24" s="106" t="str">
        <f>IFERROR(((IF(E24="",0,E24)+IF(F24="",0,F24))/Planted_Acres)*VLOOKUP(G24,LaborTable[],4,0),"")</f>
        <v/>
      </c>
      <c r="I24" s="164" t="str">
        <f>IFERROR(VLOOKUP(VLOOKUP(C24,TractorTable[],3,0),FuelTable[],2,0)*VLOOKUP(C24,TractorTable[],15,0)*(E24/Planted_Acres),"")</f>
        <v/>
      </c>
      <c r="J24" s="107" t="str">
        <f>IFERROR((IF(ISBLANK(C24),0,(VLOOKUP(C24,TractorTable[],14,0)))+IF(ISBLANK(D24),0,VLOOKUP(D24,ImplementTable[],14,0)))*(E24/Planted_Acres),"")</f>
        <v/>
      </c>
      <c r="K24" s="108">
        <f t="shared" si="1"/>
        <v>0</v>
      </c>
      <c r="L24" s="109"/>
      <c r="M24" s="107">
        <f t="shared" si="2"/>
        <v>0</v>
      </c>
      <c r="N24" s="107" t="str">
        <f>IFERROR((IF(ISBLANK(C24),0,VLOOKUP(C24,TractorTable[],13,0))+IF(ISBLANK(D24),0,VLOOKUP(D24,ImplementTable[],13,0)))*((E24*L24)/Planted_Acres),"")</f>
        <v/>
      </c>
    </row>
    <row r="25" spans="2:14" x14ac:dyDescent="0.3">
      <c r="B25" s="211" t="s">
        <v>104</v>
      </c>
      <c r="C25" s="212"/>
      <c r="D25" s="212"/>
      <c r="E25" s="212"/>
      <c r="F25" s="212"/>
      <c r="G25" s="212"/>
      <c r="H25" s="93">
        <f>SUMPRODUCT(H5:H24,$L5:$L24)</f>
        <v>25.77322675102041</v>
      </c>
      <c r="I25" s="166">
        <f>SUMPRODUCT(I5:I24,$L5:$L24)</f>
        <v>36.238884038303567</v>
      </c>
      <c r="J25" s="94">
        <f t="shared" ref="J25" si="5">SUMPRODUCT(J5:J24,$L5:$L24)</f>
        <v>50.02420645910842</v>
      </c>
      <c r="K25" s="95"/>
      <c r="L25" s="96"/>
      <c r="M25" s="94">
        <f>SUM(M5:M24)</f>
        <v>112.0363172484324</v>
      </c>
      <c r="N25" s="94">
        <f>SUM(N5:N24)</f>
        <v>185.48888902230127</v>
      </c>
    </row>
    <row r="27" spans="2:14" x14ac:dyDescent="0.3">
      <c r="B27" s="221" t="s">
        <v>105</v>
      </c>
      <c r="C27" s="221"/>
      <c r="D27" s="221"/>
      <c r="E27" s="221"/>
      <c r="F27" s="221"/>
      <c r="G27" s="221"/>
      <c r="H27" s="221"/>
      <c r="I27" s="221"/>
      <c r="J27" s="221"/>
      <c r="K27" s="221"/>
      <c r="L27" s="221"/>
      <c r="M27" s="221"/>
      <c r="N27" s="221"/>
    </row>
    <row r="28" spans="2:14" ht="45" customHeight="1" x14ac:dyDescent="0.3">
      <c r="B28" s="216" t="s">
        <v>106</v>
      </c>
      <c r="C28" s="217"/>
      <c r="D28" s="218"/>
      <c r="E28" s="34" t="s">
        <v>107</v>
      </c>
      <c r="F28" s="34" t="s">
        <v>108</v>
      </c>
      <c r="G28" s="35" t="s">
        <v>96</v>
      </c>
      <c r="H28" s="33" t="s">
        <v>109</v>
      </c>
      <c r="I28" s="34" t="s">
        <v>110</v>
      </c>
      <c r="J28" s="34" t="s">
        <v>111</v>
      </c>
      <c r="K28" s="35" t="s">
        <v>112</v>
      </c>
      <c r="L28" s="33" t="s">
        <v>113</v>
      </c>
      <c r="M28" s="34" t="s">
        <v>102</v>
      </c>
      <c r="N28" s="34" t="s">
        <v>103</v>
      </c>
    </row>
    <row r="29" spans="2:14" x14ac:dyDescent="0.3">
      <c r="B29" s="222" t="s">
        <v>114</v>
      </c>
      <c r="C29" s="223"/>
      <c r="D29" s="224"/>
      <c r="E29" s="111">
        <v>0.3</v>
      </c>
      <c r="F29" s="84">
        <v>1</v>
      </c>
      <c r="G29" s="100" t="s">
        <v>182</v>
      </c>
      <c r="H29" s="101">
        <f>IFERROR(VLOOKUP(G29,LaborTable[],4,0)*F29/Planted_Acres,"")</f>
        <v>0.12737142857142855</v>
      </c>
      <c r="I29" s="88">
        <f>IFERROR(IrrigPowerCostPerAcreInch*E29,"")</f>
        <v>1.9633859999999996</v>
      </c>
      <c r="J29" s="88">
        <f>IFERROR(IrrigRMCostPerAcreInch*E29,"")</f>
        <v>0.78</v>
      </c>
      <c r="K29" s="102">
        <f>SUM(H29:J29)</f>
        <v>2.8707574285714283</v>
      </c>
      <c r="L29" s="103">
        <v>9</v>
      </c>
      <c r="M29" s="88">
        <f>K29*L29</f>
        <v>25.836816857142857</v>
      </c>
      <c r="N29" s="88">
        <f>IFERROR((IrrigFixedCostPerAcre/IrrigAcreInches)*(E29*L29),"")</f>
        <v>1.955357142857143</v>
      </c>
    </row>
    <row r="30" spans="2:14" x14ac:dyDescent="0.3">
      <c r="B30" s="222" t="s">
        <v>115</v>
      </c>
      <c r="C30" s="223"/>
      <c r="D30" s="224"/>
      <c r="E30" s="111">
        <v>0.5</v>
      </c>
      <c r="F30" s="84">
        <v>1.2</v>
      </c>
      <c r="G30" s="100" t="s">
        <v>182</v>
      </c>
      <c r="H30" s="101">
        <f>IFERROR(VLOOKUP(G30,LaborTable[],4,0)*F30/Planted_Acres,"")</f>
        <v>0.15284571428571425</v>
      </c>
      <c r="I30" s="88">
        <f>IFERROR(IF(IrrigPowerType="Diesel",INDEX(IrrigDieselUseTable,MATCH(IrrigWellDepth,IrrigDieselLiftFeet,0),MATCH(IrrigPumpPressure,IrrigDieselPSI,0))*DieselOR_CostPerGal*E30,INDEX(IrrigElectricUseTable,MATCH(IrrigWellDepth,IrrigElectricLiftFeet,0),MATCH(IrrigPumpPressure,IrrigElectricPSI,0))*Electric_VarCostPerKWH*E30),"")</f>
        <v>3.2723099999999996</v>
      </c>
      <c r="J30" s="88">
        <f>IFERROR(IrrigRMCostPerAcreInch*E30,"")</f>
        <v>1.3</v>
      </c>
      <c r="K30" s="102">
        <f t="shared" ref="K30:K33" si="6">SUM(H30:J30)</f>
        <v>4.7251557142857141</v>
      </c>
      <c r="L30" s="103">
        <v>9</v>
      </c>
      <c r="M30" s="88">
        <f t="shared" ref="M30:M33" si="7">K30*L30</f>
        <v>42.526401428571425</v>
      </c>
      <c r="N30" s="88">
        <f>IFERROR((IrrigFixedCostPerAcre/IrrigAcreInches)*(E30*L30),"")</f>
        <v>3.2589285714285721</v>
      </c>
    </row>
    <row r="31" spans="2:14" x14ac:dyDescent="0.3">
      <c r="B31" s="222"/>
      <c r="C31" s="223"/>
      <c r="D31" s="224"/>
      <c r="E31" s="111"/>
      <c r="F31" s="84"/>
      <c r="G31" s="100"/>
      <c r="H31" s="101" t="str">
        <f>IFERROR(VLOOKUP(G31,LaborTable[],4,0)*F31/Planted_Acres,"")</f>
        <v/>
      </c>
      <c r="I31" s="88">
        <f>IFERROR(IF(IrrigPowerType="Diesel",INDEX(IrrigDieselUseTable,MATCH(IrrigWellDepth,IrrigDieselLiftFeet,0),MATCH(IrrigPumpPressure,IrrigDieselPSI,0))*DieselOR_CostPerGal*E31,INDEX(IrrigElectricUseTable,MATCH(IrrigWellDepth,IrrigElectricLiftFeet,0),MATCH(IrrigPumpPressure,IrrigElectricPSI,0))*Electric_VarCostPerKWH*E31),"")</f>
        <v>0</v>
      </c>
      <c r="J31" s="88">
        <f>IFERROR(IrrigRMCostPerAcreInch*E31,"")</f>
        <v>0</v>
      </c>
      <c r="K31" s="102">
        <f t="shared" si="6"/>
        <v>0</v>
      </c>
      <c r="L31" s="103"/>
      <c r="M31" s="88">
        <f t="shared" si="7"/>
        <v>0</v>
      </c>
      <c r="N31" s="88">
        <f>IFERROR((IrrigFixedCostPerAcre/IrrigAcreInches)*(E31*L31),"")</f>
        <v>0</v>
      </c>
    </row>
    <row r="32" spans="2:14" x14ac:dyDescent="0.3">
      <c r="B32" s="222"/>
      <c r="C32" s="223"/>
      <c r="D32" s="224"/>
      <c r="E32" s="111"/>
      <c r="F32" s="84"/>
      <c r="G32" s="100"/>
      <c r="H32" s="101" t="str">
        <f>IFERROR(VLOOKUP(G32,LaborTable[],4,0)*F32/Planted_Acres,"")</f>
        <v/>
      </c>
      <c r="I32" s="88">
        <f>IFERROR(IF(IrrigPowerType="Diesel",INDEX(IrrigDieselUseTable,MATCH(IrrigWellDepth,IrrigDieselLiftFeet,0),MATCH(IrrigPumpPressure,IrrigDieselPSI,0))*DieselOR_CostPerGal*E32,INDEX(IrrigElectricUseTable,MATCH(IrrigWellDepth,IrrigElectricLiftFeet,0),MATCH(IrrigPumpPressure,IrrigElectricPSI,0))*Electric_VarCostPerKWH*E32),"")</f>
        <v>0</v>
      </c>
      <c r="J32" s="88">
        <f>IFERROR(IrrigRMCostPerAcreInch*E32,"")</f>
        <v>0</v>
      </c>
      <c r="K32" s="102">
        <f t="shared" si="6"/>
        <v>0</v>
      </c>
      <c r="L32" s="103"/>
      <c r="M32" s="88">
        <f t="shared" si="7"/>
        <v>0</v>
      </c>
      <c r="N32" s="88">
        <f>IFERROR((IrrigFixedCostPerAcre/IrrigAcreInches)*(E32*L32),"")</f>
        <v>0</v>
      </c>
    </row>
    <row r="33" spans="2:14" ht="15" thickBot="1" x14ac:dyDescent="0.35">
      <c r="B33" s="225"/>
      <c r="C33" s="226"/>
      <c r="D33" s="227"/>
      <c r="E33" s="112"/>
      <c r="F33" s="104"/>
      <c r="G33" s="105"/>
      <c r="H33" s="106" t="str">
        <f>IFERROR(VLOOKUP(G33,LaborTable[],4,0)*F33/Planted_Acres,"")</f>
        <v/>
      </c>
      <c r="I33" s="107">
        <f>IFERROR(IF(IrrigPowerType="Diesel",INDEX(IrrigDieselUseTable,MATCH(IrrigWellDepth,IrrigDieselLiftFeet,0),MATCH(IrrigPumpPressure,IrrigDieselPSI,0))*DieselOR_CostPerGal*E33,INDEX(IrrigElectricUseTable,MATCH(IrrigWellDepth,IrrigElectricLiftFeet,0),MATCH(IrrigPumpPressure,IrrigElectricPSI,0))*Electric_VarCostPerKWH*E33),"")</f>
        <v>0</v>
      </c>
      <c r="J33" s="107">
        <f>IFERROR(IrrigRMCostPerAcreInch*E33,"")</f>
        <v>0</v>
      </c>
      <c r="K33" s="108">
        <f t="shared" si="6"/>
        <v>0</v>
      </c>
      <c r="L33" s="109"/>
      <c r="M33" s="107">
        <f t="shared" si="7"/>
        <v>0</v>
      </c>
      <c r="N33" s="107">
        <f>IFERROR((IrrigFixedCostPerAcre/IrrigAcreInches)*(E33*L33),"")</f>
        <v>0</v>
      </c>
    </row>
    <row r="34" spans="2:14" x14ac:dyDescent="0.3">
      <c r="B34" s="211" t="s">
        <v>116</v>
      </c>
      <c r="C34" s="212"/>
      <c r="D34" s="213"/>
      <c r="E34" s="97">
        <f>SUMPRODUCT(E29:E33,$L29:$L33)</f>
        <v>7.1999999999999993</v>
      </c>
      <c r="F34" s="97">
        <f>SUMPRODUCT(F29:F33,$L29:$L33)</f>
        <v>19.799999999999997</v>
      </c>
      <c r="G34" s="92"/>
      <c r="H34" s="93">
        <f>SUMPRODUCT(H29:H33,$L29:$L33)</f>
        <v>2.5219542857142851</v>
      </c>
      <c r="I34" s="94">
        <f t="shared" ref="I34:J34" si="8">SUMPRODUCT(I29:I33,$L29:$L33)</f>
        <v>47.121263999999996</v>
      </c>
      <c r="J34" s="94">
        <f t="shared" si="8"/>
        <v>18.720000000000002</v>
      </c>
      <c r="K34" s="98"/>
      <c r="L34" s="96"/>
      <c r="M34" s="94">
        <f>SUM(M29:M33)</f>
        <v>68.363218285714282</v>
      </c>
      <c r="N34" s="94">
        <f>SUM(N29:N33)</f>
        <v>5.2142857142857153</v>
      </c>
    </row>
    <row r="36" spans="2:14" x14ac:dyDescent="0.3">
      <c r="B36" s="221" t="s">
        <v>117</v>
      </c>
      <c r="C36" s="221"/>
      <c r="D36" s="221"/>
      <c r="E36" s="221"/>
      <c r="F36" s="221"/>
      <c r="G36" s="221"/>
      <c r="H36" s="221"/>
      <c r="I36" s="221"/>
      <c r="J36" s="221"/>
      <c r="K36" s="221"/>
      <c r="L36" s="221"/>
      <c r="M36" s="221"/>
      <c r="N36" s="221"/>
    </row>
    <row r="37" spans="2:14" ht="43.2" x14ac:dyDescent="0.3">
      <c r="B37" s="7" t="s">
        <v>118</v>
      </c>
      <c r="C37" s="36" t="s">
        <v>119</v>
      </c>
      <c r="D37" s="36" t="s">
        <v>120</v>
      </c>
      <c r="E37" s="34" t="s">
        <v>121</v>
      </c>
      <c r="F37" s="34" t="s">
        <v>122</v>
      </c>
      <c r="G37" s="35" t="s">
        <v>96</v>
      </c>
      <c r="H37" s="33" t="s">
        <v>97</v>
      </c>
      <c r="I37" s="34" t="s">
        <v>98</v>
      </c>
      <c r="J37" s="34" t="s">
        <v>99</v>
      </c>
      <c r="K37" s="35" t="s">
        <v>100</v>
      </c>
      <c r="L37" s="33" t="s">
        <v>101</v>
      </c>
      <c r="M37" s="34" t="s">
        <v>102</v>
      </c>
      <c r="N37" s="34" t="s">
        <v>103</v>
      </c>
    </row>
    <row r="38" spans="2:14" x14ac:dyDescent="0.3">
      <c r="B38" s="84" t="s">
        <v>624</v>
      </c>
      <c r="C38" s="84" t="s">
        <v>563</v>
      </c>
      <c r="D38" s="90" t="str">
        <f>IFERROR(VLOOKUP(C38,VehicleTable[],3,0),"")</f>
        <v>Gasoline</v>
      </c>
      <c r="E38" s="84">
        <v>30</v>
      </c>
      <c r="F38" s="84">
        <v>1</v>
      </c>
      <c r="G38" s="100" t="s">
        <v>181</v>
      </c>
      <c r="H38" s="101">
        <f>IFERROR(F38*VLOOKUP(G38,LaborTable[],4,0)/Planted_Acres,"")</f>
        <v>0.13911428571428572</v>
      </c>
      <c r="I38" s="88">
        <f>IFERROR(E38*VLOOKUP(C38,VehicleTable[],15,0)*VLOOKUP(D38,FuelTable[],2,0)/Planted_Acres,"")</f>
        <v>4.3358571428571434E-2</v>
      </c>
      <c r="J38" s="88">
        <f>IFERROR(E38*VLOOKUP(C38,VehicleTable[],14,0)/Planted_Acres,"")</f>
        <v>3.2428571428571425E-2</v>
      </c>
      <c r="K38" s="102">
        <f>SUM(H38:J38)</f>
        <v>0.21490142857142858</v>
      </c>
      <c r="L38" s="103">
        <v>31</v>
      </c>
      <c r="M38" s="88">
        <f>K38*L38</f>
        <v>6.6619442857142861</v>
      </c>
      <c r="N38" s="88">
        <f>IFERROR(E38*L38*VLOOKUP(C38,VehicleTable[],13,0)/Planted_Acres,"")</f>
        <v>3.2491456572549207</v>
      </c>
    </row>
    <row r="39" spans="2:14" x14ac:dyDescent="0.3">
      <c r="B39" s="84" t="s">
        <v>625</v>
      </c>
      <c r="C39" s="84" t="s">
        <v>565</v>
      </c>
      <c r="D39" s="90" t="str">
        <f>IFERROR(VLOOKUP(C39,VehicleTable[],3,0),"")</f>
        <v>Gasoline</v>
      </c>
      <c r="E39" s="84">
        <v>30</v>
      </c>
      <c r="F39" s="84">
        <v>1</v>
      </c>
      <c r="G39" s="100" t="s">
        <v>182</v>
      </c>
      <c r="H39" s="101">
        <f>IFERROR(F39*VLOOKUP(G39,LaborTable[],4,0)/Planted_Acres,"")</f>
        <v>0.12737142857142855</v>
      </c>
      <c r="I39" s="88">
        <f>IFERROR(E39*VLOOKUP(C39,VehicleTable[],15,0)*VLOOKUP(D39,FuelTable[],2,0)/Planted_Acres,"")</f>
        <v>3.2357142857142862E-2</v>
      </c>
      <c r="J39" s="88">
        <f>IFERROR(E39*VLOOKUP(C39,VehicleTable[],14,0)/Planted_Acres,"")</f>
        <v>2.1857142857142853E-2</v>
      </c>
      <c r="K39" s="102">
        <f t="shared" ref="K39:K47" si="9">SUM(H39:J39)</f>
        <v>0.18158571428571427</v>
      </c>
      <c r="L39" s="103">
        <v>18</v>
      </c>
      <c r="M39" s="88">
        <f t="shared" ref="M39:M47" si="10">K39*L39</f>
        <v>3.2685428571428568</v>
      </c>
      <c r="N39" s="88">
        <f>IFERROR(E39*L39*VLOOKUP(C39,VehicleTable[],13,0)/Planted_Acres,"")</f>
        <v>1.6785174663152718</v>
      </c>
    </row>
    <row r="40" spans="2:14" x14ac:dyDescent="0.3">
      <c r="B40" s="84" t="s">
        <v>635</v>
      </c>
      <c r="C40" s="84" t="s">
        <v>565</v>
      </c>
      <c r="D40" s="90" t="str">
        <f>IFERROR(VLOOKUP(C40,VehicleTable[],3,0),"")</f>
        <v>Gasoline</v>
      </c>
      <c r="E40" s="84">
        <v>30</v>
      </c>
      <c r="F40" s="84">
        <v>12</v>
      </c>
      <c r="G40" s="100" t="s">
        <v>182</v>
      </c>
      <c r="H40" s="101">
        <f>IFERROR(F40*VLOOKUP(G40,LaborTable[],4,0)/Planted_Acres,"")</f>
        <v>1.5284571428571427</v>
      </c>
      <c r="I40" s="88">
        <f>IFERROR(E40*VLOOKUP(C40,VehicleTable[],15,0)*VLOOKUP(D40,FuelTable[],2,0)/Planted_Acres,"")</f>
        <v>3.2357142857142862E-2</v>
      </c>
      <c r="J40" s="88">
        <f>IFERROR(E40*VLOOKUP(C40,VehicleTable[],14,0)/Planted_Acres,"")</f>
        <v>2.1857142857142853E-2</v>
      </c>
      <c r="K40" s="102">
        <f t="shared" si="9"/>
        <v>1.5826714285714285</v>
      </c>
      <c r="L40" s="103">
        <v>1</v>
      </c>
      <c r="M40" s="88">
        <f t="shared" si="10"/>
        <v>1.5826714285714285</v>
      </c>
      <c r="N40" s="88">
        <f>IFERROR(E40*L40*VLOOKUP(C40,VehicleTable[],13,0)/Planted_Acres,"")</f>
        <v>9.3250970350848436E-2</v>
      </c>
    </row>
    <row r="41" spans="2:14" x14ac:dyDescent="0.3">
      <c r="B41" s="84"/>
      <c r="C41" s="84"/>
      <c r="D41" s="90" t="str">
        <f>IFERROR(VLOOKUP(C41,VehicleTable[],3,0),"")</f>
        <v/>
      </c>
      <c r="E41" s="84"/>
      <c r="F41" s="84"/>
      <c r="G41" s="100"/>
      <c r="H41" s="101" t="str">
        <f>IFERROR(F41*VLOOKUP(G41,LaborTable[],4,0)/Planted_Acres,"")</f>
        <v/>
      </c>
      <c r="I41" s="88" t="str">
        <f>IFERROR(E41*VLOOKUP(C41,VehicleTable[],15,0)*VLOOKUP(D41,FuelTable[],2,0)/Planted_Acres,"")</f>
        <v/>
      </c>
      <c r="J41" s="88" t="str">
        <f>IFERROR(E41*VLOOKUP(C41,VehicleTable[],14,0)/Planted_Acres,"")</f>
        <v/>
      </c>
      <c r="K41" s="102">
        <f t="shared" si="9"/>
        <v>0</v>
      </c>
      <c r="L41" s="103"/>
      <c r="M41" s="88">
        <f t="shared" si="10"/>
        <v>0</v>
      </c>
      <c r="N41" s="88" t="str">
        <f>IFERROR(E41*L41*VLOOKUP(C41,VehicleTable[],13,0)/Planted_Acres,"")</f>
        <v/>
      </c>
    </row>
    <row r="42" spans="2:14" x14ac:dyDescent="0.3">
      <c r="B42" s="84"/>
      <c r="C42" s="84"/>
      <c r="D42" s="90" t="str">
        <f>IFERROR(VLOOKUP(C42,VehicleTable[],3,0),"")</f>
        <v/>
      </c>
      <c r="E42" s="84"/>
      <c r="F42" s="84"/>
      <c r="G42" s="100"/>
      <c r="H42" s="101" t="str">
        <f>IFERROR(F42*VLOOKUP(G42,LaborTable[],4,0)/Planted_Acres,"")</f>
        <v/>
      </c>
      <c r="I42" s="88" t="str">
        <f>IFERROR(E42*VLOOKUP(C42,VehicleTable[],15,0)*VLOOKUP(D42,FuelTable[],2,0)/Planted_Acres,"")</f>
        <v/>
      </c>
      <c r="J42" s="88" t="str">
        <f>IFERROR(E42*VLOOKUP(C42,VehicleTable[],14,0)/Planted_Acres,"")</f>
        <v/>
      </c>
      <c r="K42" s="102">
        <f t="shared" si="9"/>
        <v>0</v>
      </c>
      <c r="L42" s="103"/>
      <c r="M42" s="88">
        <f t="shared" si="10"/>
        <v>0</v>
      </c>
      <c r="N42" s="88" t="str">
        <f>IFERROR(E42*L42*VLOOKUP(C42,VehicleTable[],13,0)/Planted_Acres,"")</f>
        <v/>
      </c>
    </row>
    <row r="43" spans="2:14" x14ac:dyDescent="0.3">
      <c r="B43" s="84"/>
      <c r="C43" s="84"/>
      <c r="D43" s="90" t="str">
        <f>IFERROR(VLOOKUP(C43,VehicleTable[],3,0),"")</f>
        <v/>
      </c>
      <c r="E43" s="84"/>
      <c r="F43" s="84"/>
      <c r="G43" s="100"/>
      <c r="H43" s="101" t="str">
        <f>IFERROR(F43*VLOOKUP(G43,LaborTable[],4,0)/Planted_Acres,"")</f>
        <v/>
      </c>
      <c r="I43" s="88" t="str">
        <f>IFERROR(E43*VLOOKUP(C43,VehicleTable[],15,0)*VLOOKUP(D43,FuelTable[],2,0)/Planted_Acres,"")</f>
        <v/>
      </c>
      <c r="J43" s="88" t="str">
        <f>IFERROR(E43*VLOOKUP(C43,VehicleTable[],14,0)/Planted_Acres,"")</f>
        <v/>
      </c>
      <c r="K43" s="102">
        <f t="shared" si="9"/>
        <v>0</v>
      </c>
      <c r="L43" s="103"/>
      <c r="M43" s="88">
        <f t="shared" si="10"/>
        <v>0</v>
      </c>
      <c r="N43" s="88" t="str">
        <f>IFERROR(E43*L43*VLOOKUP(C43,VehicleTable[],13,0)/Planted_Acres,"")</f>
        <v/>
      </c>
    </row>
    <row r="44" spans="2:14" x14ac:dyDescent="0.3">
      <c r="B44" s="84"/>
      <c r="C44" s="84"/>
      <c r="D44" s="90" t="str">
        <f>IFERROR(VLOOKUP(C44,VehicleTable[],3,0),"")</f>
        <v/>
      </c>
      <c r="E44" s="84"/>
      <c r="F44" s="84"/>
      <c r="G44" s="100"/>
      <c r="H44" s="101" t="str">
        <f>IFERROR(F44*VLOOKUP(G44,LaborTable[],4,0)/Planted_Acres,"")</f>
        <v/>
      </c>
      <c r="I44" s="88" t="str">
        <f>IFERROR(E44*VLOOKUP(C44,VehicleTable[],15,0)*VLOOKUP(D44,FuelTable[],2,0)/Planted_Acres,"")</f>
        <v/>
      </c>
      <c r="J44" s="88" t="str">
        <f>IFERROR(E44*VLOOKUP(C44,VehicleTable[],14,0)/Planted_Acres,"")</f>
        <v/>
      </c>
      <c r="K44" s="102">
        <f t="shared" si="9"/>
        <v>0</v>
      </c>
      <c r="L44" s="103"/>
      <c r="M44" s="88">
        <f t="shared" si="10"/>
        <v>0</v>
      </c>
      <c r="N44" s="88" t="str">
        <f>IFERROR(E44*L44*VLOOKUP(C44,VehicleTable[],13,0)/Planted_Acres,"")</f>
        <v/>
      </c>
    </row>
    <row r="45" spans="2:14" x14ac:dyDescent="0.3">
      <c r="B45" s="84"/>
      <c r="C45" s="84"/>
      <c r="D45" s="90" t="str">
        <f>IFERROR(VLOOKUP(C45,VehicleTable[],3,0),"")</f>
        <v/>
      </c>
      <c r="E45" s="84"/>
      <c r="F45" s="84"/>
      <c r="G45" s="100"/>
      <c r="H45" s="101" t="str">
        <f>IFERROR(F45*VLOOKUP(G45,LaborTable[],4,0)/Planted_Acres,"")</f>
        <v/>
      </c>
      <c r="I45" s="88" t="str">
        <f>IFERROR(E45*VLOOKUP(C45,VehicleTable[],15,0)*VLOOKUP(D45,FuelTable[],2,0)/Planted_Acres,"")</f>
        <v/>
      </c>
      <c r="J45" s="88" t="str">
        <f>IFERROR(E45*VLOOKUP(C45,VehicleTable[],14,0)/Planted_Acres,"")</f>
        <v/>
      </c>
      <c r="K45" s="102">
        <f t="shared" si="9"/>
        <v>0</v>
      </c>
      <c r="L45" s="103"/>
      <c r="M45" s="88">
        <f t="shared" si="10"/>
        <v>0</v>
      </c>
      <c r="N45" s="88" t="str">
        <f>IFERROR(E45*L45*VLOOKUP(C45,VehicleTable[],13,0)/Planted_Acres,"")</f>
        <v/>
      </c>
    </row>
    <row r="46" spans="2:14" x14ac:dyDescent="0.3">
      <c r="B46" s="84"/>
      <c r="C46" s="84"/>
      <c r="D46" s="90" t="str">
        <f>IFERROR(VLOOKUP(C46,VehicleTable[],3,0),"")</f>
        <v/>
      </c>
      <c r="E46" s="84"/>
      <c r="F46" s="84"/>
      <c r="G46" s="100"/>
      <c r="H46" s="101" t="str">
        <f>IFERROR(F46*VLOOKUP(G46,LaborTable[],4,0)/Planted_Acres,"")</f>
        <v/>
      </c>
      <c r="I46" s="88" t="str">
        <f>IFERROR(E46*VLOOKUP(C46,VehicleTable[],15,0)*VLOOKUP(D46,FuelTable[],2,0)/Planted_Acres,"")</f>
        <v/>
      </c>
      <c r="J46" s="88" t="str">
        <f>IFERROR(E46*VLOOKUP(C46,VehicleTable[],14,0)/Planted_Acres,"")</f>
        <v/>
      </c>
      <c r="K46" s="102">
        <f t="shared" si="9"/>
        <v>0</v>
      </c>
      <c r="L46" s="103"/>
      <c r="M46" s="88">
        <f t="shared" si="10"/>
        <v>0</v>
      </c>
      <c r="N46" s="88" t="str">
        <f>IFERROR(E46*L46*VLOOKUP(C46,VehicleTable[],13,0)/Planted_Acres,"")</f>
        <v/>
      </c>
    </row>
    <row r="47" spans="2:14" ht="15" thickBot="1" x14ac:dyDescent="0.35">
      <c r="B47" s="104"/>
      <c r="C47" s="104"/>
      <c r="D47" s="174" t="str">
        <f>IFERROR(VLOOKUP(C47,VehicleTable[],3,0),"")</f>
        <v/>
      </c>
      <c r="E47" s="104"/>
      <c r="F47" s="104"/>
      <c r="G47" s="105"/>
      <c r="H47" s="106" t="str">
        <f>IFERROR(F47*VLOOKUP(G47,LaborTable[],4,0)/Planted_Acres,"")</f>
        <v/>
      </c>
      <c r="I47" s="107" t="str">
        <f>IFERROR(E47*VLOOKUP(C47,VehicleTable[],15,0)*VLOOKUP(D47,FuelTable[],2,0)/Planted_Acres,"")</f>
        <v/>
      </c>
      <c r="J47" s="107" t="str">
        <f>IFERROR(E47*VLOOKUP(C47,VehicleTable[],14,0)/Planted_Acres,"")</f>
        <v/>
      </c>
      <c r="K47" s="108">
        <f t="shared" si="9"/>
        <v>0</v>
      </c>
      <c r="L47" s="109"/>
      <c r="M47" s="107">
        <f t="shared" si="10"/>
        <v>0</v>
      </c>
      <c r="N47" s="107" t="str">
        <f>IFERROR(E47*L47*VLOOKUP(C47,VehicleTable[],13,0)/Planted_Acres,"")</f>
        <v/>
      </c>
    </row>
    <row r="48" spans="2:14" x14ac:dyDescent="0.3">
      <c r="B48" s="211" t="s">
        <v>104</v>
      </c>
      <c r="C48" s="212"/>
      <c r="D48" s="212"/>
      <c r="E48" s="212"/>
      <c r="F48" s="212"/>
      <c r="G48" s="212"/>
      <c r="H48" s="93">
        <f>SUMPRODUCT(H38:H47,$L38:$L47)</f>
        <v>8.1336857142857149</v>
      </c>
      <c r="I48" s="94">
        <f t="shared" ref="I48:J48" si="11">SUMPRODUCT(I38:I47,$L38:$L47)</f>
        <v>1.958901428571429</v>
      </c>
      <c r="J48" s="94">
        <f t="shared" si="11"/>
        <v>1.4205714285714284</v>
      </c>
      <c r="K48" s="20"/>
      <c r="L48" s="96"/>
      <c r="M48" s="94">
        <f>SUM(M38:M47)</f>
        <v>11.513158571428571</v>
      </c>
      <c r="N48" s="94">
        <f>SUM(N38:N47)</f>
        <v>5.020914093921041</v>
      </c>
    </row>
    <row r="50" spans="2:14" x14ac:dyDescent="0.3">
      <c r="B50" s="221" t="s">
        <v>123</v>
      </c>
      <c r="C50" s="221"/>
      <c r="D50" s="221"/>
      <c r="E50" s="221"/>
      <c r="F50" s="221"/>
      <c r="G50" s="221"/>
    </row>
    <row r="51" spans="2:14" ht="28.8" x14ac:dyDescent="0.3">
      <c r="B51" s="7" t="s">
        <v>124</v>
      </c>
      <c r="C51" s="7" t="s">
        <v>125</v>
      </c>
      <c r="D51" s="7" t="s">
        <v>126</v>
      </c>
      <c r="E51" s="34" t="s">
        <v>127</v>
      </c>
      <c r="F51" s="34" t="s">
        <v>128</v>
      </c>
      <c r="G51" s="34" t="s">
        <v>102</v>
      </c>
    </row>
    <row r="52" spans="2:14" x14ac:dyDescent="0.3">
      <c r="B52" s="84" t="s">
        <v>615</v>
      </c>
      <c r="C52" s="90" t="str">
        <f>IFERROR(VLOOKUP($B52,CustomServiceTable[],2,FALSE),"")</f>
        <v>2.5-acre grids</v>
      </c>
      <c r="D52" s="90" t="str">
        <f>IFERROR(VLOOKUP($B52,CustomServiceTable[],3,FALSE),"")</f>
        <v>acre</v>
      </c>
      <c r="E52" s="88">
        <f>IFERROR(VLOOKUP($B52,CustomServiceTable[],4,FALSE),"")</f>
        <v>10</v>
      </c>
      <c r="F52" s="84">
        <v>1</v>
      </c>
      <c r="G52" s="88">
        <f>IF(F52&gt;0,E52*F52,"")</f>
        <v>10</v>
      </c>
      <c r="N52" s="18"/>
    </row>
    <row r="53" spans="2:14" x14ac:dyDescent="0.3">
      <c r="B53" s="84" t="s">
        <v>617</v>
      </c>
      <c r="C53" s="90" t="str">
        <f>IFERROR(VLOOKUP($B53,CustomServiceTable[],2,FALSE),"")</f>
        <v>2.5-acre grids</v>
      </c>
      <c r="D53" s="90" t="str">
        <f>IFERROR(VLOOKUP($B53,CustomServiceTable[],3,FALSE),"")</f>
        <v>acre</v>
      </c>
      <c r="E53" s="88">
        <f>IFERROR(VLOOKUP($B53,CustomServiceTable[],4,FALSE),"")</f>
        <v>10</v>
      </c>
      <c r="F53" s="84">
        <v>1</v>
      </c>
      <c r="G53" s="88">
        <f t="shared" ref="G53:G61" si="12">IF(F53&gt;0,E53*F53,"")</f>
        <v>10</v>
      </c>
    </row>
    <row r="54" spans="2:14" x14ac:dyDescent="0.3">
      <c r="B54" s="84" t="s">
        <v>202</v>
      </c>
      <c r="C54" s="90" t="str">
        <f>IFERROR(VLOOKUP($B54,CustomServiceTable[],2,FALSE),"")</f>
        <v>agronomic</v>
      </c>
      <c r="D54" s="90" t="str">
        <f>IFERROR(VLOOKUP($B54,CustomServiceTable[],3,FALSE),"")</f>
        <v>acre</v>
      </c>
      <c r="E54" s="88">
        <f>IFERROR(VLOOKUP($B54,CustomServiceTable[],4,FALSE),"")</f>
        <v>10</v>
      </c>
      <c r="F54" s="84">
        <v>1</v>
      </c>
      <c r="G54" s="88">
        <f t="shared" si="12"/>
        <v>10</v>
      </c>
    </row>
    <row r="55" spans="2:14" x14ac:dyDescent="0.3">
      <c r="B55" s="84"/>
      <c r="C55" s="90" t="str">
        <f>IFERROR(VLOOKUP($B55,CustomServiceTable[],2,FALSE),"")</f>
        <v/>
      </c>
      <c r="D55" s="90" t="str">
        <f>IFERROR(VLOOKUP($B55,CustomServiceTable[],3,FALSE),"")</f>
        <v/>
      </c>
      <c r="E55" s="88" t="str">
        <f>IFERROR(VLOOKUP($B55,CustomServiceTable[],4,FALSE),"")</f>
        <v/>
      </c>
      <c r="F55" s="84"/>
      <c r="G55" s="88" t="str">
        <f t="shared" ref="G55" si="13">IF(F55&gt;0,E55*F55,"")</f>
        <v/>
      </c>
    </row>
    <row r="56" spans="2:14" x14ac:dyDescent="0.3">
      <c r="B56" s="84"/>
      <c r="C56" s="90" t="str">
        <f>IFERROR(VLOOKUP($B56,CustomServiceTable[],2,FALSE),"")</f>
        <v/>
      </c>
      <c r="D56" s="90" t="str">
        <f>IFERROR(VLOOKUP($B56,CustomServiceTable[],3,FALSE),"")</f>
        <v/>
      </c>
      <c r="E56" s="88" t="str">
        <f>IFERROR(VLOOKUP($B56,CustomServiceTable[],4,FALSE),"")</f>
        <v/>
      </c>
      <c r="F56" s="84"/>
      <c r="G56" s="88"/>
    </row>
    <row r="57" spans="2:14" x14ac:dyDescent="0.3">
      <c r="B57" s="84"/>
      <c r="C57" s="90" t="str">
        <f>IFERROR(VLOOKUP($B57,CustomServiceTable[],2,FALSE),"")</f>
        <v/>
      </c>
      <c r="D57" s="90" t="str">
        <f>IFERROR(VLOOKUP($B57,CustomServiceTable[],3,FALSE),"")</f>
        <v/>
      </c>
      <c r="E57" s="88" t="str">
        <f>IFERROR(VLOOKUP($B57,CustomServiceTable[],4,FALSE),"")</f>
        <v/>
      </c>
      <c r="F57" s="84"/>
      <c r="G57" s="88" t="str">
        <f t="shared" si="12"/>
        <v/>
      </c>
    </row>
    <row r="58" spans="2:14" x14ac:dyDescent="0.3">
      <c r="B58" s="84"/>
      <c r="C58" s="90" t="str">
        <f>IFERROR(VLOOKUP($B58,CustomServiceTable[],2,FALSE),"")</f>
        <v/>
      </c>
      <c r="D58" s="90" t="str">
        <f>IFERROR(VLOOKUP($B58,CustomServiceTable[],3,FALSE),"")</f>
        <v/>
      </c>
      <c r="E58" s="88" t="str">
        <f>IFERROR(VLOOKUP($B58,CustomServiceTable[],4,FALSE),"")</f>
        <v/>
      </c>
      <c r="F58" s="84"/>
      <c r="G58" s="88" t="str">
        <f t="shared" si="12"/>
        <v/>
      </c>
    </row>
    <row r="59" spans="2:14" x14ac:dyDescent="0.3">
      <c r="B59" s="84"/>
      <c r="C59" s="90" t="str">
        <f>IFERROR(VLOOKUP($B59,CustomServiceTable[],2,FALSE),"")</f>
        <v/>
      </c>
      <c r="D59" s="90" t="str">
        <f>IFERROR(VLOOKUP($B59,CustomServiceTable[],3,FALSE),"")</f>
        <v/>
      </c>
      <c r="E59" s="88" t="str">
        <f>IFERROR(VLOOKUP($B59,CustomServiceTable[],4,FALSE),"")</f>
        <v/>
      </c>
      <c r="F59" s="84"/>
      <c r="G59" s="88" t="str">
        <f t="shared" si="12"/>
        <v/>
      </c>
    </row>
    <row r="60" spans="2:14" x14ac:dyDescent="0.3">
      <c r="B60" s="84"/>
      <c r="C60" s="90" t="str">
        <f>IFERROR(VLOOKUP($B60,CustomServiceTable[],2,FALSE),"")</f>
        <v/>
      </c>
      <c r="D60" s="90" t="str">
        <f>IFERROR(VLOOKUP($B60,CustomServiceTable[],3,FALSE),"")</f>
        <v/>
      </c>
      <c r="E60" s="88" t="str">
        <f>IFERROR(VLOOKUP($B60,CustomServiceTable[],4,FALSE),"")</f>
        <v/>
      </c>
      <c r="F60" s="84"/>
      <c r="G60" s="88" t="str">
        <f t="shared" si="12"/>
        <v/>
      </c>
    </row>
    <row r="61" spans="2:14" x14ac:dyDescent="0.3">
      <c r="B61" s="84"/>
      <c r="C61" s="90" t="str">
        <f>IFERROR(VLOOKUP($B61,CustomServiceTable[],2,FALSE),"")</f>
        <v/>
      </c>
      <c r="D61" s="90" t="str">
        <f>IFERROR(VLOOKUP($B61,CustomServiceTable[],3,FALSE),"")</f>
        <v/>
      </c>
      <c r="E61" s="88" t="str">
        <f>IFERROR(VLOOKUP($B61,CustomServiceTable[],4,FALSE),"")</f>
        <v/>
      </c>
      <c r="F61" s="84"/>
      <c r="G61" s="88" t="str">
        <f t="shared" si="12"/>
        <v/>
      </c>
    </row>
    <row r="62" spans="2:14" x14ac:dyDescent="0.3">
      <c r="B62" s="209" t="s">
        <v>69</v>
      </c>
      <c r="C62" s="210"/>
      <c r="D62" s="210"/>
      <c r="E62" s="210"/>
      <c r="F62" s="219"/>
      <c r="G62" s="77">
        <f>SUM(G52:G61)</f>
        <v>30</v>
      </c>
    </row>
    <row r="64" spans="2:14" ht="28.8" x14ac:dyDescent="0.3">
      <c r="B64" s="202"/>
      <c r="C64" s="202"/>
      <c r="D64" s="202"/>
      <c r="E64" s="202"/>
      <c r="F64" s="202"/>
      <c r="G64" s="8" t="s">
        <v>129</v>
      </c>
      <c r="H64" s="8" t="s">
        <v>31</v>
      </c>
      <c r="I64" s="34" t="s">
        <v>130</v>
      </c>
      <c r="J64" s="8" t="s">
        <v>131</v>
      </c>
      <c r="K64" s="34" t="s">
        <v>132</v>
      </c>
      <c r="L64" s="220" t="s">
        <v>133</v>
      </c>
      <c r="M64" s="220"/>
      <c r="N64" s="34" t="s">
        <v>134</v>
      </c>
    </row>
    <row r="65" spans="2:14" x14ac:dyDescent="0.3">
      <c r="B65" s="202" t="s">
        <v>135</v>
      </c>
      <c r="C65" s="202"/>
      <c r="D65" s="202"/>
      <c r="E65" s="202"/>
      <c r="F65" s="202"/>
      <c r="G65" s="77">
        <f>CustomCostPerAcre</f>
        <v>30</v>
      </c>
      <c r="H65" s="77">
        <f>H25+H34+H48</f>
        <v>36.428866751020408</v>
      </c>
      <c r="I65" s="77">
        <f t="shared" ref="I65:J65" si="14">I25+I34+I48</f>
        <v>85.319049466874986</v>
      </c>
      <c r="J65" s="77">
        <f t="shared" si="14"/>
        <v>70.164777887679861</v>
      </c>
      <c r="K65" s="77">
        <f>SUM(G65:J65)</f>
        <v>221.91269410557527</v>
      </c>
      <c r="L65" s="215">
        <f>N25+N34+N48</f>
        <v>195.72408883050804</v>
      </c>
      <c r="M65" s="215"/>
      <c r="N65" s="77">
        <f>K65+L65</f>
        <v>417.63678293608331</v>
      </c>
    </row>
    <row r="67" spans="2:14" ht="14.4" customHeight="1" x14ac:dyDescent="0.3">
      <c r="B67" s="214" t="s">
        <v>626</v>
      </c>
      <c r="C67" s="214"/>
      <c r="D67" s="214"/>
      <c r="E67" s="214"/>
      <c r="F67" s="214"/>
      <c r="G67" s="214"/>
    </row>
    <row r="68" spans="2:14" x14ac:dyDescent="0.3">
      <c r="B68" s="214"/>
      <c r="C68" s="214"/>
      <c r="D68" s="214"/>
      <c r="E68" s="214"/>
      <c r="F68" s="214"/>
      <c r="G68" s="214"/>
    </row>
  </sheetData>
  <sheetProtection algorithmName="SHA-512" hashValue="ZVz9AZd17l+HxzCEoxrFEMLPeqStPM5H5Z+Xbagdz1w13kl67BX03w8TTYacEC7GfaCwDmFA2u45WIsYY8rgqw==" saltValue="OzZA6PCoA4nQAhDBhRNYRg==" spinCount="100000" sheet="1" objects="1" scenarios="1"/>
  <mergeCells count="20">
    <mergeCell ref="B1:N1"/>
    <mergeCell ref="B62:F62"/>
    <mergeCell ref="L64:M64"/>
    <mergeCell ref="B25:G25"/>
    <mergeCell ref="B3:N3"/>
    <mergeCell ref="B27:N27"/>
    <mergeCell ref="B29:D29"/>
    <mergeCell ref="B30:D30"/>
    <mergeCell ref="B31:D31"/>
    <mergeCell ref="B32:D32"/>
    <mergeCell ref="B33:D33"/>
    <mergeCell ref="B64:F64"/>
    <mergeCell ref="B48:G48"/>
    <mergeCell ref="B36:N36"/>
    <mergeCell ref="B50:G50"/>
    <mergeCell ref="B65:F65"/>
    <mergeCell ref="B34:D34"/>
    <mergeCell ref="B67:G68"/>
    <mergeCell ref="L65:M65"/>
    <mergeCell ref="B28:D28"/>
  </mergeCells>
  <dataValidations count="8">
    <dataValidation type="list" errorStyle="information" allowBlank="1" showInputMessage="1" showErrorMessage="1" error="Select from dropdown or enter description of service" sqref="B52:B61" xr:uid="{90273AE9-2E09-47E5-A1A6-B80540C1C194}">
      <formula1>CustomServices</formula1>
    </dataValidation>
    <dataValidation type="list" errorStyle="information" allowBlank="1" showInputMessage="1" showErrorMessage="1" error="Select from dropdown or enter tractor type" sqref="C5:C24" xr:uid="{A1FB04BE-12CC-4592-A199-8EE793426A32}">
      <formula1>Tractors</formula1>
    </dataValidation>
    <dataValidation type="list" errorStyle="information" allowBlank="1" showInputMessage="1" showErrorMessage="1" error="Select from dropdown or enter implement type" sqref="D5:D24" xr:uid="{991D5378-9F7D-411F-8234-1331B38B50CA}">
      <formula1>Implements</formula1>
    </dataValidation>
    <dataValidation type="list" errorStyle="information" allowBlank="1" showInputMessage="1" showErrorMessage="1" error="Select from dropdown for labor cost to calculate" sqref="G5:G24" xr:uid="{7AEC793E-1EA7-40DA-BDC4-3EDBF48B65FC}">
      <formula1>LaborTypes</formula1>
    </dataValidation>
    <dataValidation type="list" errorStyle="warning" allowBlank="1" showInputMessage="1" showErrorMessage="1" error="Select from dropdown" sqref="G29:G33" xr:uid="{28660114-F032-4F2A-A98D-7B490F2898D1}">
      <formula1>LaborTypes</formula1>
    </dataValidation>
    <dataValidation type="list" errorStyle="information" allowBlank="1" showInputMessage="1" showErrorMessage="1" error="Select a truck from the dropdown" sqref="C38:C47" xr:uid="{CC045F31-57A2-48C1-8843-069E6D949A21}">
      <formula1>Vehicles</formula1>
    </dataValidation>
    <dataValidation type="list" errorStyle="information" allowBlank="1" showInputMessage="1" showErrorMessage="1" error="Select from dropdown" sqref="G38:G47" xr:uid="{DFF5C961-F1F9-4E6B-8D03-B0D7A72D0D00}">
      <formula1>LaborTypes</formula1>
    </dataValidation>
    <dataValidation type="list" errorStyle="warning" allowBlank="1" showInputMessage="1" showErrorMessage="1" error="Select from dropdown" sqref="D38:D47" xr:uid="{437EB941-BD15-472A-82EE-03FD2DB82A8E}">
      <formula1>FuelTypes</formula1>
    </dataValidation>
  </dataValidations>
  <pageMargins left="0.7" right="0.7" top="0.75" bottom="0.75" header="0.3" footer="0.3"/>
  <ignoredErrors>
    <ignoredError sqref="H6:H24 M5:N24 H29:K33 M30:M33 H38 M39:M47 G52:G61 H5 J5:K5 J6:K24 I5:I24 K39:K47 H39:H47 K38 I38:J47 M38 N38:N47 M29 N29:N33 D40:D47 D38:D39 C52:E61 F17:F24 F5:F7 E8:F10 E5:E7 E17:E24 E12:F16 F1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BCDC-42E3-498D-959B-815E0D6FDD64}">
  <sheetPr>
    <tabColor rgb="FF003087"/>
  </sheetPr>
  <dimension ref="B1:F56"/>
  <sheetViews>
    <sheetView workbookViewId="0"/>
  </sheetViews>
  <sheetFormatPr defaultColWidth="8.88671875" defaultRowHeight="14.4" x14ac:dyDescent="0.3"/>
  <cols>
    <col min="1" max="1" width="4.6640625" style="17" customWidth="1"/>
    <col min="2" max="2" width="35.6640625" style="17" customWidth="1"/>
    <col min="3" max="3" width="23.6640625" style="17" customWidth="1"/>
    <col min="4" max="4" width="22.5546875" style="17" customWidth="1"/>
    <col min="5" max="5" width="18.6640625" style="17" customWidth="1"/>
    <col min="6" max="6" width="12.6640625" style="17" customWidth="1"/>
    <col min="7" max="16384" width="8.88671875" style="17"/>
  </cols>
  <sheetData>
    <row r="1" spans="2:6" ht="18.600000000000001" thickBot="1" x14ac:dyDescent="0.4">
      <c r="B1" s="208" t="s">
        <v>136</v>
      </c>
      <c r="C1" s="208"/>
      <c r="D1" s="208"/>
      <c r="E1" s="208"/>
      <c r="F1" s="208"/>
    </row>
    <row r="3" spans="2:6" x14ac:dyDescent="0.3">
      <c r="B3" s="7" t="s">
        <v>137</v>
      </c>
      <c r="C3" s="229" t="s">
        <v>658</v>
      </c>
      <c r="D3" s="229"/>
      <c r="E3" s="229"/>
    </row>
    <row r="4" spans="2:6" x14ac:dyDescent="0.3">
      <c r="B4" s="7" t="s">
        <v>138</v>
      </c>
      <c r="C4" s="229" t="s">
        <v>642</v>
      </c>
      <c r="D4" s="229"/>
      <c r="E4" s="229"/>
    </row>
    <row r="6" spans="2:6" x14ac:dyDescent="0.3">
      <c r="B6" s="202" t="s">
        <v>139</v>
      </c>
      <c r="C6" s="202"/>
      <c r="D6" s="202"/>
      <c r="E6" s="202"/>
    </row>
    <row r="7" spans="2:6" x14ac:dyDescent="0.3">
      <c r="B7" s="45" t="s">
        <v>140</v>
      </c>
      <c r="C7" s="45" t="s">
        <v>20</v>
      </c>
      <c r="D7" s="46" t="s">
        <v>141</v>
      </c>
      <c r="E7" s="46" t="s">
        <v>21</v>
      </c>
      <c r="F7" s="26"/>
    </row>
    <row r="8" spans="2:6" x14ac:dyDescent="0.3">
      <c r="B8" s="84" t="s">
        <v>604</v>
      </c>
      <c r="C8" s="84" t="s">
        <v>605</v>
      </c>
      <c r="D8" s="84">
        <v>160</v>
      </c>
      <c r="E8" s="84">
        <v>140</v>
      </c>
    </row>
    <row r="9" spans="2:6" x14ac:dyDescent="0.3">
      <c r="B9" s="202" t="s">
        <v>142</v>
      </c>
      <c r="C9" s="202"/>
      <c r="D9" s="202"/>
      <c r="E9" s="8" t="s">
        <v>143</v>
      </c>
    </row>
    <row r="10" spans="2:6" x14ac:dyDescent="0.3">
      <c r="B10" s="222" t="s">
        <v>606</v>
      </c>
      <c r="C10" s="223"/>
      <c r="D10" s="224"/>
      <c r="E10" s="84">
        <v>1</v>
      </c>
    </row>
    <row r="11" spans="2:6" x14ac:dyDescent="0.3">
      <c r="B11" s="7" t="s">
        <v>144</v>
      </c>
      <c r="C11" s="8" t="s">
        <v>145</v>
      </c>
      <c r="D11" s="8" t="s">
        <v>146</v>
      </c>
      <c r="E11" s="8" t="s">
        <v>147</v>
      </c>
      <c r="F11" s="44"/>
    </row>
    <row r="12" spans="2:6" x14ac:dyDescent="0.3">
      <c r="B12" s="84" t="s">
        <v>607</v>
      </c>
      <c r="C12" s="84">
        <v>10</v>
      </c>
      <c r="D12" s="84">
        <v>200</v>
      </c>
      <c r="E12" s="84">
        <v>60</v>
      </c>
    </row>
    <row r="13" spans="2:6" x14ac:dyDescent="0.3">
      <c r="B13" s="7" t="s">
        <v>148</v>
      </c>
      <c r="C13" s="8" t="s">
        <v>149</v>
      </c>
      <c r="D13" s="53" t="s">
        <v>150</v>
      </c>
      <c r="E13" s="38" t="s">
        <v>151</v>
      </c>
      <c r="F13" s="18"/>
    </row>
    <row r="14" spans="2:6" x14ac:dyDescent="0.3">
      <c r="B14" s="84" t="s">
        <v>608</v>
      </c>
      <c r="C14" s="113">
        <v>100</v>
      </c>
      <c r="D14" s="114" t="str">
        <f>IF($B14="Diesel",INDEX(IrrigDieselUseTable,MATCH($D12,IrrigDieselLiftFeet,0),MATCH($E12,IrrigDieselPSI,0)),"")</f>
        <v/>
      </c>
      <c r="E14" s="114">
        <f>IF($B14="Electric",INDEX(IrrigElectricUseTable,MATCH($D12,IrrigElectricLiftFeet,0),MATCH($E12,IrrigElectricPSI,0)),"")</f>
        <v>54.538499999999992</v>
      </c>
    </row>
    <row r="15" spans="2:6" x14ac:dyDescent="0.3">
      <c r="B15" s="7" t="s">
        <v>152</v>
      </c>
      <c r="C15" s="202" t="s">
        <v>153</v>
      </c>
      <c r="D15" s="202"/>
      <c r="E15" s="202"/>
    </row>
    <row r="16" spans="2:6" x14ac:dyDescent="0.3">
      <c r="B16" s="115">
        <f>IF(B14="Diesel",D14*DieselOR_CostPerGal,IF(B14="Electric",E14*Electric_VarCostPerKWH,""))</f>
        <v>6.5446199999999992</v>
      </c>
      <c r="C16" s="231">
        <v>2.6</v>
      </c>
      <c r="D16" s="231"/>
      <c r="E16" s="231"/>
    </row>
    <row r="18" spans="2:6" x14ac:dyDescent="0.3">
      <c r="B18" s="7" t="s">
        <v>154</v>
      </c>
      <c r="C18" s="84" t="s">
        <v>657</v>
      </c>
    </row>
    <row r="20" spans="2:6" x14ac:dyDescent="0.3">
      <c r="B20" s="202" t="s">
        <v>155</v>
      </c>
      <c r="C20" s="202"/>
      <c r="D20" s="202"/>
      <c r="E20" s="202"/>
    </row>
    <row r="21" spans="2:6" ht="28.8" x14ac:dyDescent="0.3">
      <c r="B21" s="11" t="s">
        <v>156</v>
      </c>
      <c r="C21" s="21"/>
      <c r="D21" s="13" t="s">
        <v>157</v>
      </c>
      <c r="E21" s="12" t="s">
        <v>81</v>
      </c>
    </row>
    <row r="22" spans="2:6" x14ac:dyDescent="0.3">
      <c r="B22" s="229" t="s">
        <v>158</v>
      </c>
      <c r="C22" s="229"/>
      <c r="D22" s="116">
        <f>250*160</f>
        <v>40000</v>
      </c>
      <c r="E22" s="86">
        <f t="shared" ref="E22:E27" si="0">IFERROR(D22/Planted_Acres/CashCropsPerYear,"")</f>
        <v>285.71428571428572</v>
      </c>
    </row>
    <row r="23" spans="2:6" x14ac:dyDescent="0.3">
      <c r="B23" s="229" t="s">
        <v>159</v>
      </c>
      <c r="C23" s="229"/>
      <c r="D23" s="116"/>
      <c r="E23" s="86">
        <f t="shared" si="0"/>
        <v>0</v>
      </c>
    </row>
    <row r="24" spans="2:6" x14ac:dyDescent="0.3">
      <c r="B24" s="229" t="s">
        <v>160</v>
      </c>
      <c r="C24" s="229"/>
      <c r="D24" s="116"/>
      <c r="E24" s="86">
        <f t="shared" si="0"/>
        <v>0</v>
      </c>
    </row>
    <row r="25" spans="2:6" x14ac:dyDescent="0.3">
      <c r="B25" s="222" t="s">
        <v>161</v>
      </c>
      <c r="C25" s="224"/>
      <c r="D25" s="116"/>
      <c r="E25" s="86">
        <f t="shared" si="0"/>
        <v>0</v>
      </c>
    </row>
    <row r="26" spans="2:6" ht="16.2" x14ac:dyDescent="0.3">
      <c r="B26" s="229" t="s">
        <v>162</v>
      </c>
      <c r="C26" s="229"/>
      <c r="D26" s="116"/>
      <c r="E26" s="86">
        <f t="shared" si="0"/>
        <v>0</v>
      </c>
    </row>
    <row r="27" spans="2:6" x14ac:dyDescent="0.3">
      <c r="B27" s="229"/>
      <c r="C27" s="229"/>
      <c r="D27" s="116"/>
      <c r="E27" s="86">
        <f t="shared" si="0"/>
        <v>0</v>
      </c>
    </row>
    <row r="28" spans="2:6" x14ac:dyDescent="0.3">
      <c r="B28" s="230" t="s">
        <v>163</v>
      </c>
      <c r="C28" s="230"/>
      <c r="D28" s="54">
        <f>SUM(D22:D27)</f>
        <v>40000</v>
      </c>
      <c r="E28" s="54">
        <f>SUM(E22:E27)</f>
        <v>285.71428571428572</v>
      </c>
    </row>
    <row r="29" spans="2:6" ht="16.2" x14ac:dyDescent="0.3">
      <c r="B29" s="59" t="s">
        <v>164</v>
      </c>
      <c r="C29" s="59"/>
      <c r="D29" s="59"/>
      <c r="E29" s="59"/>
      <c r="F29" s="81"/>
    </row>
    <row r="31" spans="2:6" x14ac:dyDescent="0.3">
      <c r="B31" s="202" t="s">
        <v>165</v>
      </c>
      <c r="C31" s="202"/>
      <c r="D31" s="202"/>
      <c r="E31" s="202"/>
      <c r="F31" s="202"/>
    </row>
    <row r="32" spans="2:6" ht="28.8" x14ac:dyDescent="0.3">
      <c r="B32" s="47" t="s">
        <v>166</v>
      </c>
      <c r="C32" s="48" t="s">
        <v>167</v>
      </c>
      <c r="D32" s="48" t="s">
        <v>168</v>
      </c>
      <c r="E32" s="48" t="s">
        <v>169</v>
      </c>
      <c r="F32" s="46" t="s">
        <v>163</v>
      </c>
    </row>
    <row r="33" spans="2:6" x14ac:dyDescent="0.3">
      <c r="B33" s="84" t="s">
        <v>636</v>
      </c>
      <c r="C33" s="116"/>
      <c r="D33" s="116"/>
      <c r="E33" s="116"/>
      <c r="F33" s="22">
        <f>SUM(C33:E33)</f>
        <v>0</v>
      </c>
    </row>
    <row r="34" spans="2:6" x14ac:dyDescent="0.3">
      <c r="B34" s="84" t="s">
        <v>170</v>
      </c>
      <c r="C34" s="116"/>
      <c r="D34" s="116"/>
      <c r="E34" s="116">
        <v>530</v>
      </c>
      <c r="F34" s="22">
        <f t="shared" ref="F34:F39" si="1">SUM(C34:E34)</f>
        <v>530</v>
      </c>
    </row>
    <row r="35" spans="2:6" x14ac:dyDescent="0.3">
      <c r="B35" s="84" t="s">
        <v>171</v>
      </c>
      <c r="C35" s="116"/>
      <c r="D35" s="116"/>
      <c r="E35" s="116">
        <v>200</v>
      </c>
      <c r="F35" s="22">
        <f t="shared" si="1"/>
        <v>200</v>
      </c>
    </row>
    <row r="36" spans="2:6" x14ac:dyDescent="0.3">
      <c r="B36" s="84"/>
      <c r="C36" s="116"/>
      <c r="D36" s="116"/>
      <c r="E36" s="116"/>
      <c r="F36" s="22">
        <f t="shared" si="1"/>
        <v>0</v>
      </c>
    </row>
    <row r="37" spans="2:6" x14ac:dyDescent="0.3">
      <c r="B37" s="84"/>
      <c r="C37" s="116"/>
      <c r="D37" s="116"/>
      <c r="E37" s="116"/>
      <c r="F37" s="22">
        <f t="shared" si="1"/>
        <v>0</v>
      </c>
    </row>
    <row r="38" spans="2:6" x14ac:dyDescent="0.3">
      <c r="B38" s="84"/>
      <c r="C38" s="116"/>
      <c r="D38" s="116"/>
      <c r="E38" s="116"/>
      <c r="F38" s="22">
        <f t="shared" si="1"/>
        <v>0</v>
      </c>
    </row>
    <row r="39" spans="2:6" x14ac:dyDescent="0.3">
      <c r="B39" s="10" t="s">
        <v>172</v>
      </c>
      <c r="C39" s="22">
        <f>SUM(C33:C38)</f>
        <v>0</v>
      </c>
      <c r="D39" s="22">
        <f t="shared" ref="D39:E39" si="2">SUM(D33:D38)</f>
        <v>0</v>
      </c>
      <c r="E39" s="22">
        <f t="shared" si="2"/>
        <v>730</v>
      </c>
      <c r="F39" s="22">
        <f t="shared" si="1"/>
        <v>730</v>
      </c>
    </row>
    <row r="40" spans="2:6" x14ac:dyDescent="0.3">
      <c r="B40" s="10" t="s">
        <v>173</v>
      </c>
      <c r="C40" s="50">
        <f>IFERROR(C39/Planted_Acres/CashCropsPerYear,"")</f>
        <v>0</v>
      </c>
      <c r="D40" s="50">
        <f>IFERROR(D39/Planted_Acres/CashCropsPerYear,"")</f>
        <v>0</v>
      </c>
      <c r="E40" s="50">
        <f>IFERROR(E39/Planted_Acres/CashCropsPerYear,"")</f>
        <v>5.2142857142857144</v>
      </c>
      <c r="F40" s="50">
        <f>IFERROR(F39/Planted_Acres/CashCropsPerYear,"")</f>
        <v>5.2142857142857144</v>
      </c>
    </row>
    <row r="42" spans="2:6" x14ac:dyDescent="0.3">
      <c r="B42" s="202" t="s">
        <v>174</v>
      </c>
      <c r="C42" s="202"/>
      <c r="D42" s="202"/>
      <c r="E42" s="202"/>
      <c r="F42" s="202"/>
    </row>
    <row r="43" spans="2:6" x14ac:dyDescent="0.3">
      <c r="B43" s="228" t="s">
        <v>609</v>
      </c>
      <c r="C43" s="228"/>
      <c r="D43" s="228"/>
      <c r="E43" s="228"/>
      <c r="F43" s="228"/>
    </row>
    <row r="44" spans="2:6" x14ac:dyDescent="0.3">
      <c r="B44" s="228"/>
      <c r="C44" s="228"/>
      <c r="D44" s="228"/>
      <c r="E44" s="228"/>
      <c r="F44" s="228"/>
    </row>
    <row r="45" spans="2:6" x14ac:dyDescent="0.3">
      <c r="B45" s="228"/>
      <c r="C45" s="228"/>
      <c r="D45" s="228"/>
      <c r="E45" s="228"/>
      <c r="F45" s="228"/>
    </row>
    <row r="46" spans="2:6" x14ac:dyDescent="0.3">
      <c r="B46" s="228"/>
      <c r="C46" s="228"/>
      <c r="D46" s="228"/>
      <c r="E46" s="228"/>
      <c r="F46" s="228"/>
    </row>
    <row r="47" spans="2:6" x14ac:dyDescent="0.3">
      <c r="B47" s="228"/>
      <c r="C47" s="228"/>
      <c r="D47" s="228"/>
      <c r="E47" s="228"/>
      <c r="F47" s="228"/>
    </row>
    <row r="48" spans="2:6" x14ac:dyDescent="0.3">
      <c r="B48" s="228"/>
      <c r="C48" s="228"/>
      <c r="D48" s="228"/>
      <c r="E48" s="228"/>
      <c r="F48" s="228"/>
    </row>
    <row r="50" spans="2:6" x14ac:dyDescent="0.3">
      <c r="B50" s="202" t="s">
        <v>175</v>
      </c>
      <c r="C50" s="202"/>
      <c r="D50" s="202"/>
      <c r="E50" s="202"/>
      <c r="F50" s="202"/>
    </row>
    <row r="51" spans="2:6" x14ac:dyDescent="0.3">
      <c r="B51" s="228" t="s">
        <v>634</v>
      </c>
      <c r="C51" s="228"/>
      <c r="D51" s="228"/>
      <c r="E51" s="228"/>
      <c r="F51" s="228"/>
    </row>
    <row r="52" spans="2:6" x14ac:dyDescent="0.3">
      <c r="B52" s="228"/>
      <c r="C52" s="228"/>
      <c r="D52" s="228"/>
      <c r="E52" s="228"/>
      <c r="F52" s="228"/>
    </row>
    <row r="53" spans="2:6" x14ac:dyDescent="0.3">
      <c r="B53" s="228"/>
      <c r="C53" s="228"/>
      <c r="D53" s="228"/>
      <c r="E53" s="228"/>
      <c r="F53" s="228"/>
    </row>
    <row r="54" spans="2:6" x14ac:dyDescent="0.3">
      <c r="B54" s="228"/>
      <c r="C54" s="228"/>
      <c r="D54" s="228"/>
      <c r="E54" s="228"/>
      <c r="F54" s="228"/>
    </row>
    <row r="55" spans="2:6" x14ac:dyDescent="0.3">
      <c r="B55" s="228"/>
      <c r="C55" s="228"/>
      <c r="D55" s="228"/>
      <c r="E55" s="228"/>
      <c r="F55" s="228"/>
    </row>
    <row r="56" spans="2:6" x14ac:dyDescent="0.3">
      <c r="B56" s="228"/>
      <c r="C56" s="228"/>
      <c r="D56" s="228"/>
      <c r="E56" s="228"/>
      <c r="F56" s="228"/>
    </row>
  </sheetData>
  <sheetProtection algorithmName="SHA-512" hashValue="VObRoAGW9SDerijfhVx3Dc6hnY9F98Y7k5XrKRuNco2m+ASZOjazXio70nYA7y3g/E74AAifZ/0B9CxRJ8Dmnw==" saltValue="1m+0RLxaJqTpVG6NEtAoXg==" spinCount="100000" sheet="1" objects="1" scenarios="1"/>
  <mergeCells count="21">
    <mergeCell ref="B50:F50"/>
    <mergeCell ref="B10:D10"/>
    <mergeCell ref="C3:E3"/>
    <mergeCell ref="C4:E4"/>
    <mergeCell ref="B43:F48"/>
    <mergeCell ref="B51:F56"/>
    <mergeCell ref="B1:F1"/>
    <mergeCell ref="B6:E6"/>
    <mergeCell ref="B9:D9"/>
    <mergeCell ref="B42:F42"/>
    <mergeCell ref="B27:C27"/>
    <mergeCell ref="B28:C28"/>
    <mergeCell ref="B24:C24"/>
    <mergeCell ref="B26:C26"/>
    <mergeCell ref="C15:E15"/>
    <mergeCell ref="C16:E16"/>
    <mergeCell ref="B25:C25"/>
    <mergeCell ref="B20:E20"/>
    <mergeCell ref="B31:F31"/>
    <mergeCell ref="B22:C22"/>
    <mergeCell ref="B23:C23"/>
  </mergeCells>
  <dataValidations count="4">
    <dataValidation type="list" allowBlank="1" showInputMessage="1" showErrorMessage="1" error="Select from dropdown list." prompt="Select PSI" sqref="E12" xr:uid="{691D8280-772F-41F3-8879-494058F307AB}">
      <formula1>"20,30,40,50,60,70,80"</formula1>
    </dataValidation>
    <dataValidation type="list" allowBlank="1" showInputMessage="1" showErrorMessage="1" error="Select from dropdown" prompt="Select type" sqref="B14" xr:uid="{9C70DFAD-DBC2-4C56-8D21-1A331A0DF9EA}">
      <formula1>"Diesel,Electric"</formula1>
    </dataValidation>
    <dataValidation type="list" allowBlank="1" showInputMessage="1" showErrorMessage="1" error="Select from dropdown" prompt="Select" sqref="C18" xr:uid="{408C5E67-19D6-4973-A7F8-F56DB01F2BEC}">
      <formula1>"Owned,Rented"</formula1>
    </dataValidation>
    <dataValidation type="list" allowBlank="1" showInputMessage="1" showErrorMessage="1" error="Select from dropdown" prompt="Select closest" sqref="D12" xr:uid="{ED5B1F56-1C67-4E99-A89D-A90FB925626C}">
      <formula1>"0,50,100,150,200,250,300,350,400"</formula1>
    </dataValidation>
  </dataValidations>
  <pageMargins left="0.7" right="0.7" top="0.75" bottom="0.75" header="0.3" footer="0.3"/>
  <ignoredErrors>
    <ignoredError sqref="D14:E14 F33:F38 B16 E22:E2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0FB91-AFAB-4F02-BA95-146DCD0395A4}">
  <sheetPr>
    <tabColor rgb="FFFA4616"/>
  </sheetPr>
  <dimension ref="B1:E44"/>
  <sheetViews>
    <sheetView showGridLines="0" workbookViewId="0"/>
  </sheetViews>
  <sheetFormatPr defaultColWidth="9.109375" defaultRowHeight="14.4" x14ac:dyDescent="0.3"/>
  <cols>
    <col min="1" max="1" width="4.6640625" style="37" customWidth="1"/>
    <col min="2" max="2" width="32.6640625" style="37" customWidth="1"/>
    <col min="3" max="3" width="18.88671875" style="37" customWidth="1"/>
    <col min="4" max="4" width="17" style="37" customWidth="1"/>
    <col min="5" max="5" width="16.6640625" style="37" customWidth="1"/>
    <col min="6" max="16384" width="9.109375" style="37"/>
  </cols>
  <sheetData>
    <row r="1" spans="2:5" ht="18.600000000000001" thickBot="1" x14ac:dyDescent="0.4">
      <c r="B1" s="208" t="s">
        <v>176</v>
      </c>
      <c r="C1" s="208"/>
      <c r="D1" s="208"/>
      <c r="E1" s="208"/>
    </row>
    <row r="3" spans="2:5" x14ac:dyDescent="0.3">
      <c r="B3" s="70" t="s">
        <v>177</v>
      </c>
      <c r="C3" s="71" t="s">
        <v>178</v>
      </c>
      <c r="D3" s="71" t="s">
        <v>179</v>
      </c>
      <c r="E3" s="69" t="s">
        <v>180</v>
      </c>
    </row>
    <row r="4" spans="2:5" x14ac:dyDescent="0.3">
      <c r="B4" s="117" t="s">
        <v>181</v>
      </c>
      <c r="C4" s="89">
        <v>16.23</v>
      </c>
      <c r="D4" s="118">
        <v>0.2</v>
      </c>
      <c r="E4" s="168">
        <f>IF(ISBLANK(C4),"",C4*(1+D4))</f>
        <v>19.475999999999999</v>
      </c>
    </row>
    <row r="5" spans="2:5" x14ac:dyDescent="0.3">
      <c r="B5" s="110" t="s">
        <v>182</v>
      </c>
      <c r="C5" s="87">
        <v>14.86</v>
      </c>
      <c r="D5" s="119">
        <v>0.2</v>
      </c>
      <c r="E5" s="168">
        <f t="shared" ref="E5:E8" si="0">IF(ISBLANK(C5),"",C5*(1+D5))</f>
        <v>17.831999999999997</v>
      </c>
    </row>
    <row r="6" spans="2:5" x14ac:dyDescent="0.3">
      <c r="B6" s="110" t="s">
        <v>183</v>
      </c>
      <c r="C6" s="85">
        <v>0</v>
      </c>
      <c r="D6" s="120">
        <v>0</v>
      </c>
      <c r="E6" s="168">
        <f t="shared" si="0"/>
        <v>0</v>
      </c>
    </row>
    <row r="7" spans="2:5" x14ac:dyDescent="0.3">
      <c r="B7" s="110"/>
      <c r="C7" s="85"/>
      <c r="D7" s="120"/>
      <c r="E7" s="168" t="str">
        <f t="shared" si="0"/>
        <v/>
      </c>
    </row>
    <row r="8" spans="2:5" x14ac:dyDescent="0.3">
      <c r="B8" s="121"/>
      <c r="C8" s="122"/>
      <c r="D8" s="123"/>
      <c r="E8" s="169" t="str">
        <f t="shared" si="0"/>
        <v/>
      </c>
    </row>
    <row r="10" spans="2:5" x14ac:dyDescent="0.3">
      <c r="B10" s="74" t="s">
        <v>184</v>
      </c>
      <c r="C10" s="75" t="s">
        <v>185</v>
      </c>
    </row>
    <row r="11" spans="2:5" x14ac:dyDescent="0.3">
      <c r="B11" s="72" t="s">
        <v>186</v>
      </c>
      <c r="C11" s="124">
        <v>3.02</v>
      </c>
    </row>
    <row r="12" spans="2:5" x14ac:dyDescent="0.3">
      <c r="B12" s="73" t="s">
        <v>187</v>
      </c>
      <c r="C12" s="125">
        <v>3.48</v>
      </c>
    </row>
    <row r="13" spans="2:5" x14ac:dyDescent="0.3">
      <c r="B13" s="73" t="s">
        <v>188</v>
      </c>
      <c r="C13" s="125">
        <v>2.87</v>
      </c>
    </row>
    <row r="14" spans="2:5" x14ac:dyDescent="0.3">
      <c r="B14" s="110"/>
      <c r="C14" s="125"/>
    </row>
    <row r="15" spans="2:5" x14ac:dyDescent="0.3">
      <c r="B15" s="121"/>
      <c r="C15" s="126"/>
    </row>
    <row r="17" spans="2:5" x14ac:dyDescent="0.3">
      <c r="B17" s="25" t="s">
        <v>189</v>
      </c>
      <c r="C17" s="38" t="s">
        <v>190</v>
      </c>
    </row>
    <row r="18" spans="2:5" x14ac:dyDescent="0.3">
      <c r="B18" s="23" t="s">
        <v>603</v>
      </c>
      <c r="C18" s="127">
        <v>280</v>
      </c>
    </row>
    <row r="19" spans="2:5" x14ac:dyDescent="0.3">
      <c r="B19" s="16" t="s">
        <v>191</v>
      </c>
      <c r="C19" s="85">
        <v>0.12</v>
      </c>
    </row>
    <row r="21" spans="2:5" x14ac:dyDescent="0.3">
      <c r="B21" s="39" t="s">
        <v>192</v>
      </c>
      <c r="C21" s="38" t="s">
        <v>193</v>
      </c>
    </row>
    <row r="22" spans="2:5" x14ac:dyDescent="0.3">
      <c r="B22" s="23" t="s">
        <v>194</v>
      </c>
      <c r="C22" s="128">
        <v>8.2699999999999996E-2</v>
      </c>
    </row>
    <row r="23" spans="2:5" x14ac:dyDescent="0.3">
      <c r="B23" s="16" t="s">
        <v>195</v>
      </c>
      <c r="C23" s="84">
        <v>8</v>
      </c>
    </row>
    <row r="24" spans="2:5" x14ac:dyDescent="0.3">
      <c r="B24" s="16" t="s">
        <v>196</v>
      </c>
      <c r="C24" s="129">
        <f>(((1+C22)^(1/12))^C23)-1</f>
        <v>5.4400066206169218E-2</v>
      </c>
    </row>
    <row r="26" spans="2:5" x14ac:dyDescent="0.3">
      <c r="B26" s="28" t="s">
        <v>197</v>
      </c>
      <c r="C26" s="76" t="s">
        <v>125</v>
      </c>
      <c r="D26" s="76" t="s">
        <v>126</v>
      </c>
      <c r="E26" s="61" t="s">
        <v>127</v>
      </c>
    </row>
    <row r="27" spans="2:5" x14ac:dyDescent="0.3">
      <c r="B27" s="84" t="s">
        <v>615</v>
      </c>
      <c r="C27" s="84" t="s">
        <v>621</v>
      </c>
      <c r="D27" s="84" t="s">
        <v>199</v>
      </c>
      <c r="E27" s="85">
        <v>10</v>
      </c>
    </row>
    <row r="28" spans="2:5" x14ac:dyDescent="0.3">
      <c r="B28" s="84" t="s">
        <v>616</v>
      </c>
      <c r="C28" s="84" t="s">
        <v>198</v>
      </c>
      <c r="D28" s="84" t="s">
        <v>199</v>
      </c>
      <c r="E28" s="85">
        <v>7.5</v>
      </c>
    </row>
    <row r="29" spans="2:5" x14ac:dyDescent="0.3">
      <c r="B29" s="84" t="s">
        <v>620</v>
      </c>
      <c r="C29" s="84" t="s">
        <v>622</v>
      </c>
      <c r="D29" s="84" t="s">
        <v>199</v>
      </c>
      <c r="E29" s="85">
        <v>5.5</v>
      </c>
    </row>
    <row r="30" spans="2:5" x14ac:dyDescent="0.3">
      <c r="B30" s="84" t="s">
        <v>617</v>
      </c>
      <c r="C30" s="84" t="s">
        <v>621</v>
      </c>
      <c r="D30" s="84" t="s">
        <v>199</v>
      </c>
      <c r="E30" s="85">
        <v>10</v>
      </c>
    </row>
    <row r="31" spans="2:5" x14ac:dyDescent="0.3">
      <c r="B31" s="84" t="s">
        <v>618</v>
      </c>
      <c r="C31" s="84" t="s">
        <v>198</v>
      </c>
      <c r="D31" s="84" t="s">
        <v>199</v>
      </c>
      <c r="E31" s="85">
        <v>7.5</v>
      </c>
    </row>
    <row r="32" spans="2:5" x14ac:dyDescent="0.3">
      <c r="B32" s="84" t="s">
        <v>619</v>
      </c>
      <c r="C32" s="84" t="s">
        <v>622</v>
      </c>
      <c r="D32" s="84" t="s">
        <v>199</v>
      </c>
      <c r="E32" s="85">
        <v>5.5</v>
      </c>
    </row>
    <row r="33" spans="2:5" x14ac:dyDescent="0.3">
      <c r="B33" s="84" t="s">
        <v>623</v>
      </c>
      <c r="C33" s="84" t="s">
        <v>200</v>
      </c>
      <c r="D33" s="84" t="s">
        <v>201</v>
      </c>
      <c r="E33" s="85">
        <v>8</v>
      </c>
    </row>
    <row r="34" spans="2:5" x14ac:dyDescent="0.3">
      <c r="B34" s="84" t="s">
        <v>202</v>
      </c>
      <c r="C34" s="84" t="s">
        <v>203</v>
      </c>
      <c r="D34" s="84" t="s">
        <v>199</v>
      </c>
      <c r="E34" s="85">
        <v>10</v>
      </c>
    </row>
    <row r="35" spans="2:5" x14ac:dyDescent="0.3">
      <c r="B35" s="84" t="s">
        <v>204</v>
      </c>
      <c r="C35" s="84" t="s">
        <v>205</v>
      </c>
      <c r="D35" s="84" t="s">
        <v>206</v>
      </c>
      <c r="E35" s="85">
        <v>35.75</v>
      </c>
    </row>
    <row r="36" spans="2:5" x14ac:dyDescent="0.3">
      <c r="B36" s="84" t="s">
        <v>207</v>
      </c>
      <c r="C36" s="84" t="s">
        <v>208</v>
      </c>
      <c r="D36" s="84" t="s">
        <v>209</v>
      </c>
      <c r="E36" s="85">
        <v>0.21</v>
      </c>
    </row>
    <row r="37" spans="2:5" x14ac:dyDescent="0.3">
      <c r="B37" s="84" t="s">
        <v>210</v>
      </c>
      <c r="C37" s="84" t="s">
        <v>211</v>
      </c>
      <c r="D37" s="84" t="s">
        <v>209</v>
      </c>
      <c r="E37" s="85">
        <v>0.3</v>
      </c>
    </row>
    <row r="38" spans="2:5" x14ac:dyDescent="0.3">
      <c r="B38" s="84" t="s">
        <v>212</v>
      </c>
      <c r="C38" s="84" t="s">
        <v>213</v>
      </c>
      <c r="D38" s="84" t="s">
        <v>201</v>
      </c>
      <c r="E38" s="85">
        <v>12</v>
      </c>
    </row>
    <row r="39" spans="2:5" x14ac:dyDescent="0.3">
      <c r="B39" s="84" t="s">
        <v>214</v>
      </c>
      <c r="C39" s="84" t="s">
        <v>213</v>
      </c>
      <c r="D39" s="84" t="s">
        <v>201</v>
      </c>
      <c r="E39" s="85">
        <v>12</v>
      </c>
    </row>
    <row r="40" spans="2:5" x14ac:dyDescent="0.3">
      <c r="B40" s="84" t="s">
        <v>596</v>
      </c>
      <c r="C40" s="84" t="s">
        <v>597</v>
      </c>
      <c r="D40" s="84" t="s">
        <v>199</v>
      </c>
      <c r="E40" s="85">
        <v>9</v>
      </c>
    </row>
    <row r="41" spans="2:5" x14ac:dyDescent="0.3">
      <c r="B41" s="84" t="s">
        <v>598</v>
      </c>
      <c r="C41" s="84" t="s">
        <v>599</v>
      </c>
      <c r="D41" s="84" t="s">
        <v>199</v>
      </c>
      <c r="E41" s="85">
        <v>12</v>
      </c>
    </row>
    <row r="42" spans="2:5" x14ac:dyDescent="0.3">
      <c r="B42" s="130" t="s">
        <v>600</v>
      </c>
      <c r="C42" s="130" t="s">
        <v>601</v>
      </c>
      <c r="D42" s="130" t="s">
        <v>602</v>
      </c>
      <c r="E42" s="122">
        <v>15</v>
      </c>
    </row>
    <row r="43" spans="2:5" x14ac:dyDescent="0.3">
      <c r="B43" s="84"/>
      <c r="C43" s="84"/>
      <c r="D43" s="84"/>
      <c r="E43" s="85"/>
    </row>
    <row r="44" spans="2:5" x14ac:dyDescent="0.3">
      <c r="B44" s="84"/>
      <c r="C44" s="84"/>
      <c r="D44" s="84"/>
      <c r="E44" s="85"/>
    </row>
  </sheetData>
  <sheetProtection algorithmName="SHA-512" hashValue="p6pcpduCT8Jerrv9zMGSYW2cAaOyfl6tCkZkdrtq42YYvhUAS3Qlu1V8I1D89ZVxQYFAvpkS9EbcXT/Z2mNw7A==" saltValue="IRMxXljaO1v2oG12OE3r1w==" spinCount="100000" sheet="1" objects="1" scenarios="1"/>
  <mergeCells count="1">
    <mergeCell ref="B1:E1"/>
  </mergeCells>
  <pageMargins left="0.7" right="0.7" top="0.75" bottom="0.75" header="0.3" footer="0.3"/>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D3377-1E3F-4B39-8CC3-0FCF4B8EEFB8}">
  <sheetPr>
    <tabColor rgb="FFFA4616"/>
  </sheetPr>
  <dimension ref="B1:H153"/>
  <sheetViews>
    <sheetView workbookViewId="0"/>
  </sheetViews>
  <sheetFormatPr defaultColWidth="8.88671875" defaultRowHeight="14.4" x14ac:dyDescent="0.3"/>
  <cols>
    <col min="1" max="1" width="4.6640625" style="37" customWidth="1"/>
    <col min="2" max="2" width="33.6640625" style="37" customWidth="1"/>
    <col min="3" max="3" width="30.6640625" style="37" customWidth="1"/>
    <col min="4" max="5" width="13.6640625" style="37" customWidth="1"/>
    <col min="6" max="6" width="15.6640625" style="37" customWidth="1"/>
    <col min="7" max="7" width="17.6640625" style="37" customWidth="1"/>
    <col min="8" max="8" width="15.6640625" style="37" customWidth="1"/>
    <col min="9" max="16384" width="8.88671875" style="37"/>
  </cols>
  <sheetData>
    <row r="1" spans="2:8" ht="18.600000000000001" thickBot="1" x14ac:dyDescent="0.4">
      <c r="B1" s="208" t="s">
        <v>215</v>
      </c>
      <c r="C1" s="208"/>
      <c r="D1" s="208"/>
      <c r="E1" s="208"/>
      <c r="F1" s="208"/>
      <c r="G1" s="208"/>
      <c r="H1" s="208"/>
    </row>
    <row r="3" spans="2:8" ht="28.8" x14ac:dyDescent="0.3">
      <c r="B3" s="28" t="s">
        <v>216</v>
      </c>
      <c r="C3" s="28" t="s">
        <v>217</v>
      </c>
      <c r="D3" s="68" t="s">
        <v>218</v>
      </c>
      <c r="E3" s="68" t="s">
        <v>219</v>
      </c>
      <c r="F3" s="68" t="s">
        <v>79</v>
      </c>
      <c r="G3" s="68" t="s">
        <v>220</v>
      </c>
      <c r="H3" s="60" t="s">
        <v>80</v>
      </c>
    </row>
    <row r="4" spans="2:8" x14ac:dyDescent="0.3">
      <c r="B4" s="84" t="s">
        <v>221</v>
      </c>
      <c r="C4" s="84" t="s">
        <v>222</v>
      </c>
      <c r="D4" s="131">
        <v>0.91</v>
      </c>
      <c r="E4" s="132" t="s">
        <v>223</v>
      </c>
      <c r="F4" s="132" t="s">
        <v>223</v>
      </c>
      <c r="G4" s="132">
        <v>1</v>
      </c>
      <c r="H4" s="50">
        <f t="shared" ref="H4:H16" si="0">IFERROR(D4/G4,"")</f>
        <v>0.91</v>
      </c>
    </row>
    <row r="5" spans="2:8" x14ac:dyDescent="0.3">
      <c r="B5" s="84" t="s">
        <v>224</v>
      </c>
      <c r="C5" s="84" t="s">
        <v>222</v>
      </c>
      <c r="D5" s="131">
        <v>0.9</v>
      </c>
      <c r="E5" s="132" t="s">
        <v>223</v>
      </c>
      <c r="F5" s="132" t="s">
        <v>223</v>
      </c>
      <c r="G5" s="132">
        <v>1</v>
      </c>
      <c r="H5" s="50">
        <f t="shared" si="0"/>
        <v>0.9</v>
      </c>
    </row>
    <row r="6" spans="2:8" x14ac:dyDescent="0.3">
      <c r="B6" s="84" t="s">
        <v>225</v>
      </c>
      <c r="C6" s="84" t="s">
        <v>226</v>
      </c>
      <c r="D6" s="131">
        <v>0.88</v>
      </c>
      <c r="E6" s="132" t="s">
        <v>223</v>
      </c>
      <c r="F6" s="132" t="s">
        <v>223</v>
      </c>
      <c r="G6" s="132">
        <v>1</v>
      </c>
      <c r="H6" s="50">
        <f t="shared" si="0"/>
        <v>0.88</v>
      </c>
    </row>
    <row r="7" spans="2:8" x14ac:dyDescent="0.3">
      <c r="B7" s="84" t="s">
        <v>227</v>
      </c>
      <c r="C7" s="84" t="s">
        <v>222</v>
      </c>
      <c r="D7" s="131">
        <v>0.91</v>
      </c>
      <c r="E7" s="132" t="s">
        <v>223</v>
      </c>
      <c r="F7" s="132" t="s">
        <v>223</v>
      </c>
      <c r="G7" s="132">
        <v>1</v>
      </c>
      <c r="H7" s="50">
        <f t="shared" si="0"/>
        <v>0.91</v>
      </c>
    </row>
    <row r="8" spans="2:8" x14ac:dyDescent="0.3">
      <c r="B8" s="84" t="s">
        <v>228</v>
      </c>
      <c r="C8" s="84" t="s">
        <v>222</v>
      </c>
      <c r="D8" s="131">
        <v>0.91</v>
      </c>
      <c r="E8" s="132" t="s">
        <v>223</v>
      </c>
      <c r="F8" s="132" t="s">
        <v>223</v>
      </c>
      <c r="G8" s="132">
        <v>1</v>
      </c>
      <c r="H8" s="50">
        <f t="shared" si="0"/>
        <v>0.91</v>
      </c>
    </row>
    <row r="9" spans="2:8" x14ac:dyDescent="0.3">
      <c r="B9" s="84" t="s">
        <v>229</v>
      </c>
      <c r="C9" s="84" t="s">
        <v>226</v>
      </c>
      <c r="D9" s="131">
        <v>0.89</v>
      </c>
      <c r="E9" s="132" t="s">
        <v>223</v>
      </c>
      <c r="F9" s="132" t="s">
        <v>223</v>
      </c>
      <c r="G9" s="132">
        <v>1</v>
      </c>
      <c r="H9" s="50">
        <f t="shared" si="0"/>
        <v>0.89</v>
      </c>
    </row>
    <row r="10" spans="2:8" x14ac:dyDescent="0.3">
      <c r="B10" s="84" t="s">
        <v>230</v>
      </c>
      <c r="C10" s="84" t="s">
        <v>222</v>
      </c>
      <c r="D10" s="131">
        <v>0.92</v>
      </c>
      <c r="E10" s="132" t="s">
        <v>223</v>
      </c>
      <c r="F10" s="132" t="s">
        <v>223</v>
      </c>
      <c r="G10" s="132">
        <v>1</v>
      </c>
      <c r="H10" s="50">
        <f t="shared" si="0"/>
        <v>0.92</v>
      </c>
    </row>
    <row r="11" spans="2:8" x14ac:dyDescent="0.3">
      <c r="B11" s="84" t="s">
        <v>231</v>
      </c>
      <c r="C11" s="84" t="s">
        <v>226</v>
      </c>
      <c r="D11" s="131">
        <v>0.9</v>
      </c>
      <c r="E11" s="132" t="s">
        <v>223</v>
      </c>
      <c r="F11" s="132" t="s">
        <v>223</v>
      </c>
      <c r="G11" s="132">
        <v>1</v>
      </c>
      <c r="H11" s="50">
        <f t="shared" si="0"/>
        <v>0.9</v>
      </c>
    </row>
    <row r="12" spans="2:8" x14ac:dyDescent="0.3">
      <c r="B12" s="84" t="s">
        <v>232</v>
      </c>
      <c r="C12" s="84" t="s">
        <v>222</v>
      </c>
      <c r="D12" s="131">
        <v>0.96</v>
      </c>
      <c r="E12" s="132" t="s">
        <v>223</v>
      </c>
      <c r="F12" s="132" t="s">
        <v>223</v>
      </c>
      <c r="G12" s="132">
        <v>1</v>
      </c>
      <c r="H12" s="50">
        <f t="shared" si="0"/>
        <v>0.96</v>
      </c>
    </row>
    <row r="13" spans="2:8" x14ac:dyDescent="0.3">
      <c r="B13" s="84" t="s">
        <v>233</v>
      </c>
      <c r="C13" s="84" t="s">
        <v>222</v>
      </c>
      <c r="D13" s="131">
        <v>0.96</v>
      </c>
      <c r="E13" s="132" t="s">
        <v>223</v>
      </c>
      <c r="F13" s="132" t="s">
        <v>223</v>
      </c>
      <c r="G13" s="132">
        <v>1</v>
      </c>
      <c r="H13" s="50">
        <f t="shared" si="0"/>
        <v>0.96</v>
      </c>
    </row>
    <row r="14" spans="2:8" x14ac:dyDescent="0.3">
      <c r="B14" s="84" t="s">
        <v>234</v>
      </c>
      <c r="C14" s="84" t="s">
        <v>222</v>
      </c>
      <c r="D14" s="131">
        <v>0.91</v>
      </c>
      <c r="E14" s="132" t="s">
        <v>223</v>
      </c>
      <c r="F14" s="132" t="s">
        <v>223</v>
      </c>
      <c r="G14" s="132">
        <v>1</v>
      </c>
      <c r="H14" s="50">
        <f t="shared" si="0"/>
        <v>0.91</v>
      </c>
    </row>
    <row r="15" spans="2:8" x14ac:dyDescent="0.3">
      <c r="B15" s="84" t="s">
        <v>235</v>
      </c>
      <c r="C15" s="84" t="s">
        <v>226</v>
      </c>
      <c r="D15" s="131">
        <v>0.9</v>
      </c>
      <c r="E15" s="132" t="s">
        <v>223</v>
      </c>
      <c r="F15" s="132" t="s">
        <v>223</v>
      </c>
      <c r="G15" s="132">
        <v>1</v>
      </c>
      <c r="H15" s="50">
        <f t="shared" si="0"/>
        <v>0.9</v>
      </c>
    </row>
    <row r="16" spans="2:8" x14ac:dyDescent="0.3">
      <c r="B16" s="130"/>
      <c r="C16" s="130"/>
      <c r="D16" s="133"/>
      <c r="E16" s="134"/>
      <c r="F16" s="134"/>
      <c r="G16" s="134"/>
      <c r="H16" s="66" t="str">
        <f t="shared" si="0"/>
        <v/>
      </c>
    </row>
    <row r="17" spans="2:8" x14ac:dyDescent="0.3">
      <c r="D17" s="42"/>
      <c r="E17" s="42"/>
      <c r="F17" s="42"/>
      <c r="G17" s="42"/>
    </row>
    <row r="18" spans="2:8" ht="28.8" x14ac:dyDescent="0.3">
      <c r="B18" s="28" t="s">
        <v>82</v>
      </c>
      <c r="C18" s="28" t="s">
        <v>78</v>
      </c>
      <c r="D18" s="68" t="s">
        <v>218</v>
      </c>
      <c r="E18" s="68" t="s">
        <v>219</v>
      </c>
      <c r="F18" s="68" t="s">
        <v>79</v>
      </c>
      <c r="G18" s="68" t="s">
        <v>220</v>
      </c>
      <c r="H18" s="60" t="s">
        <v>80</v>
      </c>
    </row>
    <row r="19" spans="2:8" x14ac:dyDescent="0.3">
      <c r="B19" s="84" t="s">
        <v>236</v>
      </c>
      <c r="C19" s="84" t="s">
        <v>237</v>
      </c>
      <c r="D19" s="131">
        <v>430</v>
      </c>
      <c r="E19" s="132" t="s">
        <v>201</v>
      </c>
      <c r="F19" s="132" t="s">
        <v>223</v>
      </c>
      <c r="G19" s="132">
        <v>2000</v>
      </c>
      <c r="H19" s="50">
        <f>IFERROR(D19/G19,"")</f>
        <v>0.215</v>
      </c>
    </row>
    <row r="20" spans="2:8" x14ac:dyDescent="0.3">
      <c r="B20" s="84" t="s">
        <v>238</v>
      </c>
      <c r="C20" s="84" t="s">
        <v>237</v>
      </c>
      <c r="D20" s="131">
        <v>441</v>
      </c>
      <c r="E20" s="132" t="s">
        <v>201</v>
      </c>
      <c r="F20" s="132" t="s">
        <v>223</v>
      </c>
      <c r="G20" s="132">
        <v>2000</v>
      </c>
      <c r="H20" s="50">
        <f t="shared" ref="H20:H58" si="1">IFERROR(D20/G20,"")</f>
        <v>0.2205</v>
      </c>
    </row>
    <row r="21" spans="2:8" x14ac:dyDescent="0.3">
      <c r="B21" s="84" t="s">
        <v>239</v>
      </c>
      <c r="C21" s="84" t="s">
        <v>240</v>
      </c>
      <c r="D21" s="131">
        <v>12</v>
      </c>
      <c r="E21" s="132" t="s">
        <v>241</v>
      </c>
      <c r="F21" s="132" t="s">
        <v>241</v>
      </c>
      <c r="G21" s="132">
        <v>1</v>
      </c>
      <c r="H21" s="50">
        <f t="shared" si="1"/>
        <v>12</v>
      </c>
    </row>
    <row r="22" spans="2:8" x14ac:dyDescent="0.3">
      <c r="B22" s="84" t="s">
        <v>242</v>
      </c>
      <c r="C22" s="84" t="s">
        <v>237</v>
      </c>
      <c r="D22" s="131">
        <v>1087</v>
      </c>
      <c r="E22" s="132" t="s">
        <v>201</v>
      </c>
      <c r="F22" s="132" t="s">
        <v>223</v>
      </c>
      <c r="G22" s="132">
        <v>2000</v>
      </c>
      <c r="H22" s="50">
        <f t="shared" si="1"/>
        <v>0.54349999999999998</v>
      </c>
    </row>
    <row r="23" spans="2:8" x14ac:dyDescent="0.3">
      <c r="B23" s="84" t="s">
        <v>243</v>
      </c>
      <c r="C23" s="84" t="s">
        <v>240</v>
      </c>
      <c r="D23" s="131">
        <v>15.5</v>
      </c>
      <c r="E23" s="132" t="s">
        <v>244</v>
      </c>
      <c r="F23" s="132" t="s">
        <v>245</v>
      </c>
      <c r="G23" s="132">
        <v>8</v>
      </c>
      <c r="H23" s="50">
        <f t="shared" si="1"/>
        <v>1.9375</v>
      </c>
    </row>
    <row r="24" spans="2:8" x14ac:dyDescent="0.3">
      <c r="B24" s="84" t="s">
        <v>246</v>
      </c>
      <c r="C24" s="84" t="s">
        <v>240</v>
      </c>
      <c r="D24" s="131">
        <v>8</v>
      </c>
      <c r="E24" s="132" t="s">
        <v>241</v>
      </c>
      <c r="F24" s="132" t="s">
        <v>245</v>
      </c>
      <c r="G24" s="132">
        <v>2</v>
      </c>
      <c r="H24" s="50">
        <f t="shared" si="1"/>
        <v>4</v>
      </c>
    </row>
    <row r="25" spans="2:8" x14ac:dyDescent="0.3">
      <c r="B25" s="84" t="s">
        <v>247</v>
      </c>
      <c r="C25" s="84" t="s">
        <v>248</v>
      </c>
      <c r="D25" s="131">
        <v>44</v>
      </c>
      <c r="E25" s="132" t="s">
        <v>201</v>
      </c>
      <c r="F25" s="132" t="s">
        <v>201</v>
      </c>
      <c r="G25" s="132">
        <v>1</v>
      </c>
      <c r="H25" s="50">
        <f>IFERROR(D25/G25,"")</f>
        <v>44</v>
      </c>
    </row>
    <row r="26" spans="2:8" x14ac:dyDescent="0.3">
      <c r="B26" s="84" t="s">
        <v>249</v>
      </c>
      <c r="C26" s="84" t="s">
        <v>250</v>
      </c>
      <c r="D26" s="131">
        <v>312</v>
      </c>
      <c r="E26" s="132" t="s">
        <v>201</v>
      </c>
      <c r="F26" s="132" t="s">
        <v>201</v>
      </c>
      <c r="G26" s="132">
        <v>1</v>
      </c>
      <c r="H26" s="50">
        <f>IFERROR(D26/G26,"")</f>
        <v>312</v>
      </c>
    </row>
    <row r="27" spans="2:8" x14ac:dyDescent="0.3">
      <c r="B27" s="84" t="s">
        <v>251</v>
      </c>
      <c r="C27" s="84" t="s">
        <v>252</v>
      </c>
      <c r="D27" s="131">
        <v>66.75</v>
      </c>
      <c r="E27" s="132" t="s">
        <v>201</v>
      </c>
      <c r="F27" s="132" t="s">
        <v>223</v>
      </c>
      <c r="G27" s="132">
        <v>2000</v>
      </c>
      <c r="H27" s="50">
        <f t="shared" si="1"/>
        <v>3.3375000000000002E-2</v>
      </c>
    </row>
    <row r="28" spans="2:8" x14ac:dyDescent="0.3">
      <c r="B28" s="84" t="s">
        <v>253</v>
      </c>
      <c r="C28" s="84" t="s">
        <v>254</v>
      </c>
      <c r="D28" s="131">
        <v>1275</v>
      </c>
      <c r="E28" s="132" t="s">
        <v>201</v>
      </c>
      <c r="F28" s="132" t="s">
        <v>223</v>
      </c>
      <c r="G28" s="132">
        <v>2000</v>
      </c>
      <c r="H28" s="50">
        <f t="shared" si="1"/>
        <v>0.63749999999999996</v>
      </c>
    </row>
    <row r="29" spans="2:8" x14ac:dyDescent="0.3">
      <c r="B29" s="84" t="s">
        <v>255</v>
      </c>
      <c r="C29" s="84" t="s">
        <v>254</v>
      </c>
      <c r="D29" s="131">
        <v>925</v>
      </c>
      <c r="E29" s="132" t="s">
        <v>201</v>
      </c>
      <c r="F29" s="132" t="s">
        <v>223</v>
      </c>
      <c r="G29" s="132">
        <v>2000</v>
      </c>
      <c r="H29" s="50">
        <f t="shared" si="1"/>
        <v>0.46250000000000002</v>
      </c>
    </row>
    <row r="30" spans="2:8" x14ac:dyDescent="0.3">
      <c r="B30" s="84" t="s">
        <v>256</v>
      </c>
      <c r="C30" s="84" t="s">
        <v>237</v>
      </c>
      <c r="D30" s="131">
        <v>715</v>
      </c>
      <c r="E30" s="132" t="s">
        <v>201</v>
      </c>
      <c r="F30" s="132" t="s">
        <v>223</v>
      </c>
      <c r="G30" s="132">
        <v>2000</v>
      </c>
      <c r="H30" s="50">
        <f t="shared" si="1"/>
        <v>0.35749999999999998</v>
      </c>
    </row>
    <row r="31" spans="2:8" x14ac:dyDescent="0.3">
      <c r="B31" s="84" t="s">
        <v>257</v>
      </c>
      <c r="C31" s="84" t="s">
        <v>258</v>
      </c>
      <c r="D31" s="131">
        <v>33.25</v>
      </c>
      <c r="E31" s="132" t="s">
        <v>201</v>
      </c>
      <c r="F31" s="132" t="s">
        <v>201</v>
      </c>
      <c r="G31" s="132">
        <v>1</v>
      </c>
      <c r="H31" s="50">
        <f t="shared" si="1"/>
        <v>33.25</v>
      </c>
    </row>
    <row r="32" spans="2:8" x14ac:dyDescent="0.3">
      <c r="B32" s="84" t="s">
        <v>259</v>
      </c>
      <c r="C32" s="84" t="s">
        <v>237</v>
      </c>
      <c r="D32" s="131">
        <v>422</v>
      </c>
      <c r="E32" s="132" t="s">
        <v>201</v>
      </c>
      <c r="F32" s="132" t="s">
        <v>223</v>
      </c>
      <c r="G32" s="132">
        <v>2000</v>
      </c>
      <c r="H32" s="50">
        <f t="shared" si="1"/>
        <v>0.21099999999999999</v>
      </c>
    </row>
    <row r="33" spans="2:8" x14ac:dyDescent="0.3">
      <c r="B33" s="84" t="s">
        <v>260</v>
      </c>
      <c r="C33" s="84" t="s">
        <v>237</v>
      </c>
      <c r="D33" s="131">
        <v>534</v>
      </c>
      <c r="E33" s="132" t="s">
        <v>201</v>
      </c>
      <c r="F33" s="132" t="s">
        <v>223</v>
      </c>
      <c r="G33" s="132">
        <v>2000</v>
      </c>
      <c r="H33" s="50">
        <f t="shared" si="1"/>
        <v>0.26700000000000002</v>
      </c>
    </row>
    <row r="34" spans="2:8" x14ac:dyDescent="0.3">
      <c r="B34" s="84" t="s">
        <v>261</v>
      </c>
      <c r="C34" s="84" t="s">
        <v>237</v>
      </c>
      <c r="D34" s="131">
        <v>435</v>
      </c>
      <c r="E34" s="132" t="s">
        <v>201</v>
      </c>
      <c r="F34" s="132" t="s">
        <v>223</v>
      </c>
      <c r="G34" s="132">
        <v>2000</v>
      </c>
      <c r="H34" s="50">
        <f t="shared" si="1"/>
        <v>0.2175</v>
      </c>
    </row>
    <row r="35" spans="2:8" x14ac:dyDescent="0.3">
      <c r="B35" s="84" t="s">
        <v>262</v>
      </c>
      <c r="C35" s="84" t="s">
        <v>237</v>
      </c>
      <c r="D35" s="131">
        <v>540</v>
      </c>
      <c r="E35" s="132" t="s">
        <v>201</v>
      </c>
      <c r="F35" s="132" t="s">
        <v>223</v>
      </c>
      <c r="G35" s="132">
        <v>2000</v>
      </c>
      <c r="H35" s="50">
        <f t="shared" si="1"/>
        <v>0.27</v>
      </c>
    </row>
    <row r="36" spans="2:8" x14ac:dyDescent="0.3">
      <c r="B36" s="84" t="s">
        <v>263</v>
      </c>
      <c r="C36" s="84" t="s">
        <v>237</v>
      </c>
      <c r="D36" s="131">
        <v>562</v>
      </c>
      <c r="E36" s="132" t="s">
        <v>201</v>
      </c>
      <c r="F36" s="132" t="s">
        <v>223</v>
      </c>
      <c r="G36" s="132">
        <v>2000</v>
      </c>
      <c r="H36" s="50">
        <f t="shared" si="1"/>
        <v>0.28100000000000003</v>
      </c>
    </row>
    <row r="37" spans="2:8" x14ac:dyDescent="0.3">
      <c r="B37" s="84" t="s">
        <v>264</v>
      </c>
      <c r="C37" s="84" t="s">
        <v>237</v>
      </c>
      <c r="D37" s="131">
        <v>479</v>
      </c>
      <c r="E37" s="132" t="s">
        <v>201</v>
      </c>
      <c r="F37" s="132" t="s">
        <v>223</v>
      </c>
      <c r="G37" s="132">
        <v>2000</v>
      </c>
      <c r="H37" s="50">
        <f t="shared" si="1"/>
        <v>0.23949999999999999</v>
      </c>
    </row>
    <row r="38" spans="2:8" x14ac:dyDescent="0.3">
      <c r="B38" s="84" t="s">
        <v>265</v>
      </c>
      <c r="C38" s="84" t="s">
        <v>237</v>
      </c>
      <c r="D38" s="131">
        <v>59</v>
      </c>
      <c r="E38" s="132" t="s">
        <v>201</v>
      </c>
      <c r="F38" s="132" t="s">
        <v>201</v>
      </c>
      <c r="G38" s="132">
        <v>1</v>
      </c>
      <c r="H38" s="50">
        <f t="shared" si="1"/>
        <v>59</v>
      </c>
    </row>
    <row r="39" spans="2:8" x14ac:dyDescent="0.3">
      <c r="B39" s="84" t="s">
        <v>266</v>
      </c>
      <c r="C39" s="84" t="s">
        <v>237</v>
      </c>
      <c r="D39" s="131">
        <v>63.33</v>
      </c>
      <c r="E39" s="132" t="s">
        <v>201</v>
      </c>
      <c r="F39" s="132" t="s">
        <v>201</v>
      </c>
      <c r="G39" s="132">
        <v>1</v>
      </c>
      <c r="H39" s="50">
        <f t="shared" si="1"/>
        <v>63.33</v>
      </c>
    </row>
    <row r="40" spans="2:8" x14ac:dyDescent="0.3">
      <c r="B40" s="84" t="s">
        <v>267</v>
      </c>
      <c r="C40" s="84" t="s">
        <v>237</v>
      </c>
      <c r="D40" s="131">
        <v>513</v>
      </c>
      <c r="E40" s="132" t="s">
        <v>201</v>
      </c>
      <c r="F40" s="132" t="s">
        <v>223</v>
      </c>
      <c r="G40" s="132">
        <v>2000</v>
      </c>
      <c r="H40" s="50">
        <f t="shared" si="1"/>
        <v>0.25650000000000001</v>
      </c>
    </row>
    <row r="41" spans="2:8" x14ac:dyDescent="0.3">
      <c r="B41" s="84" t="s">
        <v>268</v>
      </c>
      <c r="C41" s="84" t="s">
        <v>240</v>
      </c>
      <c r="D41" s="131">
        <v>340</v>
      </c>
      <c r="E41" s="132" t="s">
        <v>201</v>
      </c>
      <c r="F41" s="132" t="s">
        <v>269</v>
      </c>
      <c r="G41" s="132">
        <v>192</v>
      </c>
      <c r="H41" s="50">
        <f t="shared" si="1"/>
        <v>1.7708333333333333</v>
      </c>
    </row>
    <row r="42" spans="2:8" x14ac:dyDescent="0.3">
      <c r="B42" s="84" t="s">
        <v>270</v>
      </c>
      <c r="C42" s="84" t="s">
        <v>240</v>
      </c>
      <c r="D42" s="131">
        <v>450</v>
      </c>
      <c r="E42" s="132" t="s">
        <v>201</v>
      </c>
      <c r="F42" s="132" t="s">
        <v>269</v>
      </c>
      <c r="G42" s="132">
        <v>177</v>
      </c>
      <c r="H42" s="50">
        <f t="shared" si="1"/>
        <v>2.5423728813559321</v>
      </c>
    </row>
    <row r="43" spans="2:8" x14ac:dyDescent="0.3">
      <c r="B43" s="84" t="s">
        <v>271</v>
      </c>
      <c r="C43" s="84" t="s">
        <v>240</v>
      </c>
      <c r="D43" s="131">
        <v>533</v>
      </c>
      <c r="E43" s="132" t="s">
        <v>201</v>
      </c>
      <c r="F43" s="132" t="s">
        <v>269</v>
      </c>
      <c r="G43" s="132">
        <v>177</v>
      </c>
      <c r="H43" s="50">
        <f t="shared" si="1"/>
        <v>3.0112994350282487</v>
      </c>
    </row>
    <row r="44" spans="2:8" x14ac:dyDescent="0.3">
      <c r="B44" s="84" t="s">
        <v>272</v>
      </c>
      <c r="C44" s="84" t="s">
        <v>240</v>
      </c>
      <c r="D44" s="131">
        <v>603.33000000000004</v>
      </c>
      <c r="E44" s="132" t="s">
        <v>201</v>
      </c>
      <c r="F44" s="132" t="s">
        <v>269</v>
      </c>
      <c r="G44" s="132">
        <v>172</v>
      </c>
      <c r="H44" s="50">
        <f t="shared" si="1"/>
        <v>3.5077325581395353</v>
      </c>
    </row>
    <row r="45" spans="2:8" x14ac:dyDescent="0.3">
      <c r="B45" s="84" t="s">
        <v>273</v>
      </c>
      <c r="C45" s="84" t="s">
        <v>237</v>
      </c>
      <c r="D45" s="131">
        <v>1393</v>
      </c>
      <c r="E45" s="132" t="s">
        <v>201</v>
      </c>
      <c r="F45" s="132" t="s">
        <v>223</v>
      </c>
      <c r="G45" s="132">
        <v>2000</v>
      </c>
      <c r="H45" s="50">
        <f t="shared" si="1"/>
        <v>0.69650000000000001</v>
      </c>
    </row>
    <row r="46" spans="2:8" x14ac:dyDescent="0.3">
      <c r="B46" s="84" t="s">
        <v>274</v>
      </c>
      <c r="C46" s="84" t="s">
        <v>237</v>
      </c>
      <c r="D46" s="131">
        <v>738</v>
      </c>
      <c r="E46" s="132" t="s">
        <v>201</v>
      </c>
      <c r="F46" s="132" t="s">
        <v>223</v>
      </c>
      <c r="G46" s="132">
        <v>2000</v>
      </c>
      <c r="H46" s="50">
        <f t="shared" si="1"/>
        <v>0.36899999999999999</v>
      </c>
    </row>
    <row r="47" spans="2:8" x14ac:dyDescent="0.3">
      <c r="B47" s="84" t="s">
        <v>275</v>
      </c>
      <c r="C47" s="84" t="s">
        <v>237</v>
      </c>
      <c r="D47" s="131">
        <v>505</v>
      </c>
      <c r="E47" s="132" t="s">
        <v>201</v>
      </c>
      <c r="F47" s="132" t="s">
        <v>223</v>
      </c>
      <c r="G47" s="132">
        <v>2000</v>
      </c>
      <c r="H47" s="50">
        <f t="shared" si="1"/>
        <v>0.2525</v>
      </c>
    </row>
    <row r="48" spans="2:8" x14ac:dyDescent="0.3">
      <c r="B48" s="84" t="s">
        <v>276</v>
      </c>
      <c r="C48" s="84" t="s">
        <v>237</v>
      </c>
      <c r="D48" s="131">
        <v>420</v>
      </c>
      <c r="E48" s="132" t="s">
        <v>201</v>
      </c>
      <c r="F48" s="132" t="s">
        <v>223</v>
      </c>
      <c r="G48" s="132">
        <v>2000</v>
      </c>
      <c r="H48" s="50">
        <f t="shared" si="1"/>
        <v>0.21</v>
      </c>
    </row>
    <row r="49" spans="2:8" x14ac:dyDescent="0.3">
      <c r="B49" s="84" t="s">
        <v>277</v>
      </c>
      <c r="C49" s="84" t="s">
        <v>240</v>
      </c>
      <c r="D49" s="131">
        <v>5</v>
      </c>
      <c r="E49" s="132" t="s">
        <v>241</v>
      </c>
      <c r="F49" s="132" t="s">
        <v>241</v>
      </c>
      <c r="G49" s="132">
        <v>1</v>
      </c>
      <c r="H49" s="50">
        <f t="shared" si="1"/>
        <v>5</v>
      </c>
    </row>
    <row r="50" spans="2:8" x14ac:dyDescent="0.3">
      <c r="B50" s="84" t="s">
        <v>278</v>
      </c>
      <c r="C50" s="84" t="s">
        <v>240</v>
      </c>
      <c r="D50" s="131">
        <v>5.5</v>
      </c>
      <c r="E50" s="132" t="s">
        <v>241</v>
      </c>
      <c r="F50" s="132" t="s">
        <v>241</v>
      </c>
      <c r="G50" s="132">
        <v>1</v>
      </c>
      <c r="H50" s="50">
        <f t="shared" si="1"/>
        <v>5.5</v>
      </c>
    </row>
    <row r="51" spans="2:8" x14ac:dyDescent="0.3">
      <c r="B51" s="84" t="s">
        <v>279</v>
      </c>
      <c r="C51" s="84" t="s">
        <v>240</v>
      </c>
      <c r="D51" s="131">
        <v>5.5</v>
      </c>
      <c r="E51" s="132" t="s">
        <v>241</v>
      </c>
      <c r="F51" s="132" t="s">
        <v>241</v>
      </c>
      <c r="G51" s="132">
        <v>1</v>
      </c>
      <c r="H51" s="50">
        <f t="shared" si="1"/>
        <v>5.5</v>
      </c>
    </row>
    <row r="52" spans="2:8" x14ac:dyDescent="0.3">
      <c r="B52" s="84" t="s">
        <v>280</v>
      </c>
      <c r="C52" s="84" t="s">
        <v>240</v>
      </c>
      <c r="D52" s="131">
        <v>11.2</v>
      </c>
      <c r="E52" s="132" t="s">
        <v>269</v>
      </c>
      <c r="F52" s="132" t="s">
        <v>241</v>
      </c>
      <c r="G52" s="132">
        <v>4</v>
      </c>
      <c r="H52" s="50">
        <f t="shared" si="1"/>
        <v>2.8</v>
      </c>
    </row>
    <row r="53" spans="2:8" x14ac:dyDescent="0.3">
      <c r="B53" s="84" t="s">
        <v>281</v>
      </c>
      <c r="C53" s="84" t="s">
        <v>237</v>
      </c>
      <c r="D53" s="131">
        <v>508</v>
      </c>
      <c r="E53" s="132" t="s">
        <v>201</v>
      </c>
      <c r="F53" s="132" t="s">
        <v>223</v>
      </c>
      <c r="G53" s="132">
        <v>2000</v>
      </c>
      <c r="H53" s="50">
        <f t="shared" si="1"/>
        <v>0.254</v>
      </c>
    </row>
    <row r="54" spans="2:8" x14ac:dyDescent="0.3">
      <c r="B54" s="84" t="s">
        <v>282</v>
      </c>
      <c r="C54" s="84" t="s">
        <v>240</v>
      </c>
      <c r="D54" s="131">
        <v>6.5</v>
      </c>
      <c r="E54" s="132" t="s">
        <v>241</v>
      </c>
      <c r="F54" s="132" t="s">
        <v>245</v>
      </c>
      <c r="G54" s="132">
        <v>2</v>
      </c>
      <c r="H54" s="50">
        <f t="shared" si="1"/>
        <v>3.25</v>
      </c>
    </row>
    <row r="55" spans="2:8" x14ac:dyDescent="0.3">
      <c r="B55" s="84" t="s">
        <v>283</v>
      </c>
      <c r="C55" s="84" t="s">
        <v>240</v>
      </c>
      <c r="D55" s="131">
        <v>329</v>
      </c>
      <c r="E55" s="132" t="s">
        <v>201</v>
      </c>
      <c r="F55" s="132" t="s">
        <v>269</v>
      </c>
      <c r="G55" s="132">
        <v>186</v>
      </c>
      <c r="H55" s="50">
        <f t="shared" si="1"/>
        <v>1.7688172043010753</v>
      </c>
    </row>
    <row r="56" spans="2:8" x14ac:dyDescent="0.3">
      <c r="B56" s="84" t="s">
        <v>284</v>
      </c>
      <c r="C56" s="84" t="s">
        <v>237</v>
      </c>
      <c r="D56" s="131">
        <v>477</v>
      </c>
      <c r="E56" s="132" t="s">
        <v>201</v>
      </c>
      <c r="F56" s="132" t="s">
        <v>223</v>
      </c>
      <c r="G56" s="132">
        <v>2000</v>
      </c>
      <c r="H56" s="50">
        <f t="shared" si="1"/>
        <v>0.23849999999999999</v>
      </c>
    </row>
    <row r="57" spans="2:8" x14ac:dyDescent="0.3">
      <c r="B57" s="130" t="s">
        <v>285</v>
      </c>
      <c r="C57" s="130" t="s">
        <v>237</v>
      </c>
      <c r="D57" s="133">
        <v>2054</v>
      </c>
      <c r="E57" s="134" t="s">
        <v>201</v>
      </c>
      <c r="F57" s="134" t="s">
        <v>223</v>
      </c>
      <c r="G57" s="134">
        <v>2000</v>
      </c>
      <c r="H57" s="50">
        <f>IFERROR(D57/G57,"")</f>
        <v>1.0269999999999999</v>
      </c>
    </row>
    <row r="58" spans="2:8" x14ac:dyDescent="0.3">
      <c r="B58" s="130"/>
      <c r="C58" s="130"/>
      <c r="D58" s="133"/>
      <c r="E58" s="134"/>
      <c r="F58" s="134"/>
      <c r="G58" s="134"/>
      <c r="H58" s="66" t="str">
        <f t="shared" si="1"/>
        <v/>
      </c>
    </row>
    <row r="59" spans="2:8" x14ac:dyDescent="0.3">
      <c r="D59" s="42"/>
      <c r="E59" s="42"/>
      <c r="F59" s="42"/>
      <c r="G59" s="42"/>
    </row>
    <row r="60" spans="2:8" ht="28.8" x14ac:dyDescent="0.3">
      <c r="B60" s="28" t="s">
        <v>286</v>
      </c>
      <c r="C60" s="28" t="s">
        <v>84</v>
      </c>
      <c r="D60" s="68" t="s">
        <v>218</v>
      </c>
      <c r="E60" s="68" t="s">
        <v>219</v>
      </c>
      <c r="F60" s="68" t="s">
        <v>79</v>
      </c>
      <c r="G60" s="68" t="s">
        <v>220</v>
      </c>
      <c r="H60" s="60" t="s">
        <v>80</v>
      </c>
    </row>
    <row r="61" spans="2:8" x14ac:dyDescent="0.3">
      <c r="B61" s="84" t="s">
        <v>287</v>
      </c>
      <c r="C61" s="84" t="s">
        <v>288</v>
      </c>
      <c r="D61" s="131">
        <v>149</v>
      </c>
      <c r="E61" s="132" t="s">
        <v>269</v>
      </c>
      <c r="F61" s="132" t="s">
        <v>289</v>
      </c>
      <c r="G61" s="132">
        <v>128</v>
      </c>
      <c r="H61" s="50">
        <f t="shared" ref="H61:H92" si="2">IFERROR(D61/G61,"")</f>
        <v>1.1640625</v>
      </c>
    </row>
    <row r="62" spans="2:8" x14ac:dyDescent="0.3">
      <c r="B62" s="84" t="s">
        <v>290</v>
      </c>
      <c r="C62" s="84" t="s">
        <v>291</v>
      </c>
      <c r="D62" s="131">
        <v>235</v>
      </c>
      <c r="E62" s="132" t="s">
        <v>269</v>
      </c>
      <c r="F62" s="132" t="s">
        <v>289</v>
      </c>
      <c r="G62" s="132">
        <v>128</v>
      </c>
      <c r="H62" s="50">
        <f t="shared" si="2"/>
        <v>1.8359375</v>
      </c>
    </row>
    <row r="63" spans="2:8" x14ac:dyDescent="0.3">
      <c r="B63" s="84" t="s">
        <v>292</v>
      </c>
      <c r="C63" s="84" t="s">
        <v>288</v>
      </c>
      <c r="D63" s="131">
        <v>65</v>
      </c>
      <c r="E63" s="132" t="s">
        <v>269</v>
      </c>
      <c r="F63" s="132" t="s">
        <v>289</v>
      </c>
      <c r="G63" s="132">
        <v>128</v>
      </c>
      <c r="H63" s="50">
        <f t="shared" si="2"/>
        <v>0.5078125</v>
      </c>
    </row>
    <row r="64" spans="2:8" x14ac:dyDescent="0.3">
      <c r="B64" s="84" t="s">
        <v>293</v>
      </c>
      <c r="C64" s="84" t="s">
        <v>294</v>
      </c>
      <c r="D64" s="131">
        <v>155</v>
      </c>
      <c r="E64" s="132" t="s">
        <v>269</v>
      </c>
      <c r="F64" s="132" t="s">
        <v>289</v>
      </c>
      <c r="G64" s="132">
        <v>128</v>
      </c>
      <c r="H64" s="50">
        <f t="shared" si="2"/>
        <v>1.2109375</v>
      </c>
    </row>
    <row r="65" spans="2:8" x14ac:dyDescent="0.3">
      <c r="B65" s="84" t="s">
        <v>295</v>
      </c>
      <c r="C65" s="84" t="s">
        <v>296</v>
      </c>
      <c r="D65" s="131">
        <v>238</v>
      </c>
      <c r="E65" s="132" t="s">
        <v>269</v>
      </c>
      <c r="F65" s="132" t="s">
        <v>289</v>
      </c>
      <c r="G65" s="132">
        <v>128</v>
      </c>
      <c r="H65" s="50">
        <f t="shared" si="2"/>
        <v>1.859375</v>
      </c>
    </row>
    <row r="66" spans="2:8" x14ac:dyDescent="0.3">
      <c r="B66" s="84" t="s">
        <v>297</v>
      </c>
      <c r="C66" s="84" t="s">
        <v>288</v>
      </c>
      <c r="D66" s="131">
        <v>65</v>
      </c>
      <c r="E66" s="132" t="s">
        <v>269</v>
      </c>
      <c r="F66" s="132" t="s">
        <v>289</v>
      </c>
      <c r="G66" s="132">
        <v>128</v>
      </c>
      <c r="H66" s="50">
        <f t="shared" si="2"/>
        <v>0.5078125</v>
      </c>
    </row>
    <row r="67" spans="2:8" x14ac:dyDescent="0.3">
      <c r="B67" s="84" t="s">
        <v>298</v>
      </c>
      <c r="C67" s="84" t="s">
        <v>299</v>
      </c>
      <c r="D67" s="131">
        <v>23.33</v>
      </c>
      <c r="E67" s="132" t="s">
        <v>269</v>
      </c>
      <c r="F67" s="132" t="s">
        <v>245</v>
      </c>
      <c r="G67" s="132">
        <v>8</v>
      </c>
      <c r="H67" s="50">
        <f t="shared" si="2"/>
        <v>2.9162499999999998</v>
      </c>
    </row>
    <row r="68" spans="2:8" x14ac:dyDescent="0.3">
      <c r="B68" s="84" t="s">
        <v>300</v>
      </c>
      <c r="C68" s="84" t="s">
        <v>301</v>
      </c>
      <c r="D68" s="131">
        <v>110</v>
      </c>
      <c r="E68" s="132" t="s">
        <v>269</v>
      </c>
      <c r="F68" s="132" t="s">
        <v>289</v>
      </c>
      <c r="G68" s="132">
        <v>128</v>
      </c>
      <c r="H68" s="50">
        <f t="shared" si="2"/>
        <v>0.859375</v>
      </c>
    </row>
    <row r="69" spans="2:8" x14ac:dyDescent="0.3">
      <c r="B69" s="84" t="s">
        <v>302</v>
      </c>
      <c r="C69" s="84" t="s">
        <v>303</v>
      </c>
      <c r="D69" s="131">
        <v>115</v>
      </c>
      <c r="E69" s="132" t="s">
        <v>269</v>
      </c>
      <c r="F69" s="132" t="s">
        <v>289</v>
      </c>
      <c r="G69" s="132">
        <v>128</v>
      </c>
      <c r="H69" s="50">
        <f t="shared" si="2"/>
        <v>0.8984375</v>
      </c>
    </row>
    <row r="70" spans="2:8" x14ac:dyDescent="0.3">
      <c r="B70" s="84" t="s">
        <v>304</v>
      </c>
      <c r="C70" s="84" t="s">
        <v>299</v>
      </c>
      <c r="D70" s="131">
        <v>20</v>
      </c>
      <c r="E70" s="132" t="s">
        <v>269</v>
      </c>
      <c r="F70" s="132" t="s">
        <v>245</v>
      </c>
      <c r="G70" s="132">
        <v>8</v>
      </c>
      <c r="H70" s="50">
        <f t="shared" si="2"/>
        <v>2.5</v>
      </c>
    </row>
    <row r="71" spans="2:8" x14ac:dyDescent="0.3">
      <c r="B71" s="84" t="s">
        <v>305</v>
      </c>
      <c r="C71" s="84" t="s">
        <v>306</v>
      </c>
      <c r="D71" s="131">
        <v>42.75</v>
      </c>
      <c r="E71" s="132" t="s">
        <v>307</v>
      </c>
      <c r="F71" s="132" t="s">
        <v>308</v>
      </c>
      <c r="G71" s="132">
        <v>16</v>
      </c>
      <c r="H71" s="50">
        <f t="shared" si="2"/>
        <v>2.671875</v>
      </c>
    </row>
    <row r="72" spans="2:8" x14ac:dyDescent="0.3">
      <c r="B72" s="84" t="s">
        <v>309</v>
      </c>
      <c r="C72" s="84" t="s">
        <v>310</v>
      </c>
      <c r="D72" s="131">
        <v>917</v>
      </c>
      <c r="E72" s="132" t="s">
        <v>269</v>
      </c>
      <c r="F72" s="132" t="s">
        <v>289</v>
      </c>
      <c r="G72" s="132">
        <v>128</v>
      </c>
      <c r="H72" s="50">
        <f t="shared" si="2"/>
        <v>7.1640625</v>
      </c>
    </row>
    <row r="73" spans="2:8" x14ac:dyDescent="0.3">
      <c r="B73" s="84" t="s">
        <v>311</v>
      </c>
      <c r="C73" s="84" t="s">
        <v>312</v>
      </c>
      <c r="D73" s="131">
        <v>203</v>
      </c>
      <c r="E73" s="132" t="s">
        <v>269</v>
      </c>
      <c r="F73" s="132" t="s">
        <v>289</v>
      </c>
      <c r="G73" s="132">
        <v>128</v>
      </c>
      <c r="H73" s="50">
        <f t="shared" si="2"/>
        <v>1.5859375</v>
      </c>
    </row>
    <row r="74" spans="2:8" x14ac:dyDescent="0.3">
      <c r="B74" s="84" t="s">
        <v>313</v>
      </c>
      <c r="C74" s="84" t="s">
        <v>314</v>
      </c>
      <c r="D74" s="131">
        <v>148</v>
      </c>
      <c r="E74" s="132" t="s">
        <v>269</v>
      </c>
      <c r="F74" s="132" t="s">
        <v>289</v>
      </c>
      <c r="G74" s="132">
        <v>128</v>
      </c>
      <c r="H74" s="50">
        <f t="shared" si="2"/>
        <v>1.15625</v>
      </c>
    </row>
    <row r="75" spans="2:8" x14ac:dyDescent="0.3">
      <c r="B75" s="84" t="s">
        <v>315</v>
      </c>
      <c r="C75" s="84" t="s">
        <v>316</v>
      </c>
      <c r="D75" s="131">
        <v>467</v>
      </c>
      <c r="E75" s="132" t="s">
        <v>269</v>
      </c>
      <c r="F75" s="132" t="s">
        <v>289</v>
      </c>
      <c r="G75" s="132">
        <v>128</v>
      </c>
      <c r="H75" s="50">
        <f t="shared" si="2"/>
        <v>3.6484375</v>
      </c>
    </row>
    <row r="76" spans="2:8" x14ac:dyDescent="0.3">
      <c r="B76" s="84" t="s">
        <v>317</v>
      </c>
      <c r="C76" s="84" t="s">
        <v>318</v>
      </c>
      <c r="D76" s="131">
        <v>1.22</v>
      </c>
      <c r="E76" s="132" t="s">
        <v>307</v>
      </c>
      <c r="F76" s="132" t="s">
        <v>223</v>
      </c>
      <c r="G76" s="132">
        <v>1</v>
      </c>
      <c r="H76" s="50">
        <f t="shared" si="2"/>
        <v>1.22</v>
      </c>
    </row>
    <row r="77" spans="2:8" x14ac:dyDescent="0.3">
      <c r="B77" s="84" t="s">
        <v>319</v>
      </c>
      <c r="C77" s="84" t="s">
        <v>320</v>
      </c>
      <c r="D77" s="131">
        <v>5.0999999999999996</v>
      </c>
      <c r="E77" s="132" t="s">
        <v>289</v>
      </c>
      <c r="F77" s="132" t="s">
        <v>289</v>
      </c>
      <c r="G77" s="132">
        <v>1</v>
      </c>
      <c r="H77" s="50">
        <f t="shared" si="2"/>
        <v>5.0999999999999996</v>
      </c>
    </row>
    <row r="78" spans="2:8" x14ac:dyDescent="0.3">
      <c r="B78" s="84" t="s">
        <v>321</v>
      </c>
      <c r="C78" s="84" t="s">
        <v>322</v>
      </c>
      <c r="D78" s="131">
        <v>11.5</v>
      </c>
      <c r="E78" s="132" t="s">
        <v>269</v>
      </c>
      <c r="F78" s="132" t="s">
        <v>289</v>
      </c>
      <c r="G78" s="132">
        <v>128</v>
      </c>
      <c r="H78" s="50">
        <f t="shared" si="2"/>
        <v>8.984375E-2</v>
      </c>
    </row>
    <row r="79" spans="2:8" x14ac:dyDescent="0.3">
      <c r="B79" s="84" t="s">
        <v>323</v>
      </c>
      <c r="C79" s="84" t="s">
        <v>324</v>
      </c>
      <c r="D79" s="131">
        <v>485</v>
      </c>
      <c r="E79" s="132" t="s">
        <v>269</v>
      </c>
      <c r="F79" s="132" t="s">
        <v>289</v>
      </c>
      <c r="G79" s="132">
        <v>128</v>
      </c>
      <c r="H79" s="50">
        <f t="shared" si="2"/>
        <v>3.7890625</v>
      </c>
    </row>
    <row r="80" spans="2:8" x14ac:dyDescent="0.3">
      <c r="B80" s="84" t="s">
        <v>325</v>
      </c>
      <c r="C80" s="84" t="s">
        <v>326</v>
      </c>
      <c r="D80" s="131">
        <v>548</v>
      </c>
      <c r="E80" s="132" t="s">
        <v>269</v>
      </c>
      <c r="F80" s="132" t="s">
        <v>289</v>
      </c>
      <c r="G80" s="132">
        <v>128</v>
      </c>
      <c r="H80" s="50">
        <f t="shared" si="2"/>
        <v>4.28125</v>
      </c>
    </row>
    <row r="81" spans="2:8" x14ac:dyDescent="0.3">
      <c r="B81" s="84" t="s">
        <v>327</v>
      </c>
      <c r="C81" s="84" t="s">
        <v>328</v>
      </c>
      <c r="D81" s="131">
        <v>203</v>
      </c>
      <c r="E81" s="132" t="s">
        <v>269</v>
      </c>
      <c r="F81" s="132" t="s">
        <v>289</v>
      </c>
      <c r="G81" s="132">
        <v>128</v>
      </c>
      <c r="H81" s="50">
        <f t="shared" si="2"/>
        <v>1.5859375</v>
      </c>
    </row>
    <row r="82" spans="2:8" x14ac:dyDescent="0.3">
      <c r="B82" s="84" t="s">
        <v>329</v>
      </c>
      <c r="C82" s="84" t="s">
        <v>330</v>
      </c>
      <c r="D82" s="131">
        <v>605</v>
      </c>
      <c r="E82" s="132" t="s">
        <v>269</v>
      </c>
      <c r="F82" s="132" t="s">
        <v>289</v>
      </c>
      <c r="G82" s="132">
        <v>128</v>
      </c>
      <c r="H82" s="50">
        <f t="shared" si="2"/>
        <v>4.7265625</v>
      </c>
    </row>
    <row r="83" spans="2:8" x14ac:dyDescent="0.3">
      <c r="B83" s="84" t="s">
        <v>331</v>
      </c>
      <c r="C83" s="84" t="s">
        <v>332</v>
      </c>
      <c r="D83" s="131">
        <v>544</v>
      </c>
      <c r="E83" s="132" t="s">
        <v>269</v>
      </c>
      <c r="F83" s="132" t="s">
        <v>245</v>
      </c>
      <c r="G83" s="132">
        <v>8</v>
      </c>
      <c r="H83" s="50">
        <f t="shared" si="2"/>
        <v>68</v>
      </c>
    </row>
    <row r="84" spans="2:8" x14ac:dyDescent="0.3">
      <c r="B84" s="84" t="s">
        <v>333</v>
      </c>
      <c r="C84" s="84" t="s">
        <v>334</v>
      </c>
      <c r="D84" s="131">
        <v>352</v>
      </c>
      <c r="E84" s="132" t="s">
        <v>269</v>
      </c>
      <c r="F84" s="132" t="s">
        <v>289</v>
      </c>
      <c r="G84" s="132">
        <v>128</v>
      </c>
      <c r="H84" s="50">
        <f t="shared" si="2"/>
        <v>2.75</v>
      </c>
    </row>
    <row r="85" spans="2:8" x14ac:dyDescent="0.3">
      <c r="B85" s="84" t="s">
        <v>335</v>
      </c>
      <c r="C85" s="84" t="s">
        <v>332</v>
      </c>
      <c r="D85" s="131">
        <v>698</v>
      </c>
      <c r="E85" s="132" t="s">
        <v>269</v>
      </c>
      <c r="F85" s="132" t="s">
        <v>245</v>
      </c>
      <c r="G85" s="132">
        <v>8</v>
      </c>
      <c r="H85" s="50">
        <f t="shared" si="2"/>
        <v>87.25</v>
      </c>
    </row>
    <row r="86" spans="2:8" x14ac:dyDescent="0.3">
      <c r="B86" s="84" t="s">
        <v>336</v>
      </c>
      <c r="C86" s="84" t="s">
        <v>337</v>
      </c>
      <c r="D86" s="131">
        <v>50.67</v>
      </c>
      <c r="E86" s="132" t="s">
        <v>269</v>
      </c>
      <c r="F86" s="132" t="s">
        <v>289</v>
      </c>
      <c r="G86" s="132">
        <v>128</v>
      </c>
      <c r="H86" s="50">
        <f t="shared" si="2"/>
        <v>0.39585937500000001</v>
      </c>
    </row>
    <row r="87" spans="2:8" x14ac:dyDescent="0.3">
      <c r="B87" s="84" t="s">
        <v>338</v>
      </c>
      <c r="C87" s="84" t="s">
        <v>339</v>
      </c>
      <c r="D87" s="131">
        <v>151</v>
      </c>
      <c r="E87" s="132" t="s">
        <v>269</v>
      </c>
      <c r="F87" s="132" t="s">
        <v>289</v>
      </c>
      <c r="G87" s="132">
        <v>128</v>
      </c>
      <c r="H87" s="50">
        <f t="shared" si="2"/>
        <v>1.1796875</v>
      </c>
    </row>
    <row r="88" spans="2:8" x14ac:dyDescent="0.3">
      <c r="B88" s="84" t="s">
        <v>340</v>
      </c>
      <c r="C88" s="84" t="s">
        <v>341</v>
      </c>
      <c r="D88" s="131">
        <v>401</v>
      </c>
      <c r="E88" s="132" t="s">
        <v>269</v>
      </c>
      <c r="F88" s="132" t="s">
        <v>289</v>
      </c>
      <c r="G88" s="132">
        <v>128</v>
      </c>
      <c r="H88" s="50">
        <f t="shared" si="2"/>
        <v>3.1328125</v>
      </c>
    </row>
    <row r="89" spans="2:8" x14ac:dyDescent="0.3">
      <c r="B89" s="84" t="s">
        <v>342</v>
      </c>
      <c r="C89" s="84" t="s">
        <v>343</v>
      </c>
      <c r="D89" s="131">
        <v>44.33</v>
      </c>
      <c r="E89" s="132" t="s">
        <v>269</v>
      </c>
      <c r="F89" s="132" t="s">
        <v>289</v>
      </c>
      <c r="G89" s="132">
        <v>128</v>
      </c>
      <c r="H89" s="50">
        <f t="shared" si="2"/>
        <v>0.34632812499999999</v>
      </c>
    </row>
    <row r="90" spans="2:8" x14ac:dyDescent="0.3">
      <c r="B90" s="84" t="s">
        <v>344</v>
      </c>
      <c r="C90" s="84" t="s">
        <v>332</v>
      </c>
      <c r="D90" s="131">
        <v>265</v>
      </c>
      <c r="E90" s="132" t="s">
        <v>269</v>
      </c>
      <c r="F90" s="132" t="s">
        <v>245</v>
      </c>
      <c r="G90" s="132">
        <v>8</v>
      </c>
      <c r="H90" s="50">
        <f t="shared" si="2"/>
        <v>33.125</v>
      </c>
    </row>
    <row r="91" spans="2:8" x14ac:dyDescent="0.3">
      <c r="B91" s="84" t="s">
        <v>414</v>
      </c>
      <c r="C91" s="84" t="s">
        <v>415</v>
      </c>
      <c r="D91" s="131">
        <v>708</v>
      </c>
      <c r="E91" s="132" t="s">
        <v>269</v>
      </c>
      <c r="F91" s="132" t="s">
        <v>289</v>
      </c>
      <c r="G91" s="132">
        <v>128</v>
      </c>
      <c r="H91" s="50">
        <f>IFERROR(D91/G91,"")</f>
        <v>5.53125</v>
      </c>
    </row>
    <row r="92" spans="2:8" x14ac:dyDescent="0.3">
      <c r="B92" s="130"/>
      <c r="C92" s="130"/>
      <c r="D92" s="133"/>
      <c r="E92" s="134"/>
      <c r="F92" s="134"/>
      <c r="G92" s="134"/>
      <c r="H92" s="50" t="str">
        <f t="shared" si="2"/>
        <v/>
      </c>
    </row>
    <row r="93" spans="2:8" x14ac:dyDescent="0.3">
      <c r="D93" s="42"/>
      <c r="E93" s="42"/>
      <c r="F93" s="42"/>
      <c r="G93" s="42"/>
    </row>
    <row r="94" spans="2:8" ht="28.8" x14ac:dyDescent="0.3">
      <c r="B94" s="28" t="s">
        <v>345</v>
      </c>
      <c r="C94" s="28" t="s">
        <v>84</v>
      </c>
      <c r="D94" s="68" t="s">
        <v>218</v>
      </c>
      <c r="E94" s="68" t="s">
        <v>219</v>
      </c>
      <c r="F94" s="68" t="s">
        <v>79</v>
      </c>
      <c r="G94" s="68" t="s">
        <v>220</v>
      </c>
      <c r="H94" s="60" t="s">
        <v>80</v>
      </c>
    </row>
    <row r="95" spans="2:8" x14ac:dyDescent="0.3">
      <c r="B95" s="84" t="s">
        <v>346</v>
      </c>
      <c r="C95" s="84" t="s">
        <v>346</v>
      </c>
      <c r="D95" s="131">
        <v>21.83</v>
      </c>
      <c r="E95" s="132" t="s">
        <v>269</v>
      </c>
      <c r="F95" s="132" t="s">
        <v>245</v>
      </c>
      <c r="G95" s="132">
        <v>8</v>
      </c>
      <c r="H95" s="50">
        <f t="shared" ref="H95:H109" si="3">IFERROR(D95/G95,"")</f>
        <v>2.7287499999999998</v>
      </c>
    </row>
    <row r="96" spans="2:8" x14ac:dyDescent="0.3">
      <c r="B96" s="84" t="s">
        <v>347</v>
      </c>
      <c r="C96" s="84" t="s">
        <v>348</v>
      </c>
      <c r="D96" s="131">
        <v>200</v>
      </c>
      <c r="E96" s="132" t="s">
        <v>269</v>
      </c>
      <c r="F96" s="132" t="s">
        <v>289</v>
      </c>
      <c r="G96" s="132">
        <v>128</v>
      </c>
      <c r="H96" s="50">
        <f t="shared" si="3"/>
        <v>1.5625</v>
      </c>
    </row>
    <row r="97" spans="2:8" x14ac:dyDescent="0.3">
      <c r="B97" s="84" t="s">
        <v>349</v>
      </c>
      <c r="C97" s="84" t="s">
        <v>350</v>
      </c>
      <c r="D97" s="131">
        <v>60.67</v>
      </c>
      <c r="E97" s="132" t="s">
        <v>269</v>
      </c>
      <c r="F97" s="132" t="s">
        <v>245</v>
      </c>
      <c r="G97" s="132">
        <v>8</v>
      </c>
      <c r="H97" s="50">
        <f t="shared" si="3"/>
        <v>7.5837500000000002</v>
      </c>
    </row>
    <row r="98" spans="2:8" x14ac:dyDescent="0.3">
      <c r="B98" s="84" t="s">
        <v>351</v>
      </c>
      <c r="C98" s="84" t="s">
        <v>352</v>
      </c>
      <c r="D98" s="131">
        <v>18</v>
      </c>
      <c r="E98" s="132" t="s">
        <v>307</v>
      </c>
      <c r="F98" s="132" t="s">
        <v>308</v>
      </c>
      <c r="G98" s="132">
        <v>16</v>
      </c>
      <c r="H98" s="50">
        <f t="shared" si="3"/>
        <v>1.125</v>
      </c>
    </row>
    <row r="99" spans="2:8" x14ac:dyDescent="0.3">
      <c r="B99" s="84" t="s">
        <v>631</v>
      </c>
      <c r="C99" s="84" t="s">
        <v>353</v>
      </c>
      <c r="D99" s="131">
        <v>44.33</v>
      </c>
      <c r="E99" s="132" t="s">
        <v>269</v>
      </c>
      <c r="F99" s="132" t="s">
        <v>289</v>
      </c>
      <c r="G99" s="132">
        <v>128</v>
      </c>
      <c r="H99" s="50">
        <f t="shared" si="3"/>
        <v>0.34632812499999999</v>
      </c>
    </row>
    <row r="100" spans="2:8" x14ac:dyDescent="0.3">
      <c r="B100" s="84" t="s">
        <v>354</v>
      </c>
      <c r="C100" s="84" t="s">
        <v>353</v>
      </c>
      <c r="D100" s="131">
        <v>38</v>
      </c>
      <c r="E100" s="132" t="s">
        <v>269</v>
      </c>
      <c r="F100" s="132" t="s">
        <v>289</v>
      </c>
      <c r="G100" s="132">
        <v>128</v>
      </c>
      <c r="H100" s="50">
        <f t="shared" si="3"/>
        <v>0.296875</v>
      </c>
    </row>
    <row r="101" spans="2:8" x14ac:dyDescent="0.3">
      <c r="B101" s="84" t="s">
        <v>355</v>
      </c>
      <c r="C101" s="84" t="s">
        <v>356</v>
      </c>
      <c r="D101" s="131">
        <v>15</v>
      </c>
      <c r="E101" s="132" t="s">
        <v>269</v>
      </c>
      <c r="F101" s="132" t="s">
        <v>245</v>
      </c>
      <c r="G101" s="132">
        <v>8</v>
      </c>
      <c r="H101" s="50">
        <f t="shared" si="3"/>
        <v>1.875</v>
      </c>
    </row>
    <row r="102" spans="2:8" x14ac:dyDescent="0.3">
      <c r="B102" s="84" t="s">
        <v>357</v>
      </c>
      <c r="C102" s="84" t="s">
        <v>358</v>
      </c>
      <c r="D102" s="131">
        <v>44.5</v>
      </c>
      <c r="E102" s="132" t="s">
        <v>269</v>
      </c>
      <c r="F102" s="132" t="s">
        <v>245</v>
      </c>
      <c r="G102" s="132">
        <v>8</v>
      </c>
      <c r="H102" s="50">
        <f t="shared" si="3"/>
        <v>5.5625</v>
      </c>
    </row>
    <row r="103" spans="2:8" x14ac:dyDescent="0.3">
      <c r="B103" s="84" t="s">
        <v>359</v>
      </c>
      <c r="C103" s="84" t="s">
        <v>360</v>
      </c>
      <c r="D103" s="131">
        <v>361</v>
      </c>
      <c r="E103" s="132" t="s">
        <v>269</v>
      </c>
      <c r="F103" s="132" t="s">
        <v>289</v>
      </c>
      <c r="G103" s="132">
        <v>128</v>
      </c>
      <c r="H103" s="50">
        <f t="shared" si="3"/>
        <v>2.8203125</v>
      </c>
    </row>
    <row r="104" spans="2:8" x14ac:dyDescent="0.3">
      <c r="B104" s="84" t="s">
        <v>361</v>
      </c>
      <c r="C104" s="84" t="s">
        <v>362</v>
      </c>
      <c r="D104" s="131">
        <v>21.45</v>
      </c>
      <c r="E104" s="132" t="s">
        <v>269</v>
      </c>
      <c r="F104" s="132" t="s">
        <v>289</v>
      </c>
      <c r="G104" s="132">
        <v>128</v>
      </c>
      <c r="H104" s="50">
        <f t="shared" si="3"/>
        <v>0.16757812499999999</v>
      </c>
    </row>
    <row r="105" spans="2:8" x14ac:dyDescent="0.3">
      <c r="B105" s="84" t="s">
        <v>363</v>
      </c>
      <c r="C105" s="84" t="s">
        <v>358</v>
      </c>
      <c r="D105" s="131">
        <v>37</v>
      </c>
      <c r="E105" s="132" t="s">
        <v>269</v>
      </c>
      <c r="F105" s="132" t="s">
        <v>245</v>
      </c>
      <c r="G105" s="132">
        <v>8</v>
      </c>
      <c r="H105" s="50">
        <f t="shared" si="3"/>
        <v>4.625</v>
      </c>
    </row>
    <row r="106" spans="2:8" x14ac:dyDescent="0.3">
      <c r="B106" s="84" t="s">
        <v>364</v>
      </c>
      <c r="C106" s="84" t="s">
        <v>365</v>
      </c>
      <c r="D106" s="131">
        <v>88.25</v>
      </c>
      <c r="E106" s="132" t="s">
        <v>269</v>
      </c>
      <c r="F106" s="132" t="s">
        <v>289</v>
      </c>
      <c r="G106" s="132">
        <v>128</v>
      </c>
      <c r="H106" s="50">
        <f t="shared" si="3"/>
        <v>0.689453125</v>
      </c>
    </row>
    <row r="107" spans="2:8" x14ac:dyDescent="0.3">
      <c r="B107" s="84" t="s">
        <v>366</v>
      </c>
      <c r="C107" s="84" t="s">
        <v>367</v>
      </c>
      <c r="D107" s="131">
        <v>712</v>
      </c>
      <c r="E107" s="132" t="s">
        <v>307</v>
      </c>
      <c r="F107" s="132" t="s">
        <v>308</v>
      </c>
      <c r="G107" s="132">
        <v>16</v>
      </c>
      <c r="H107" s="50">
        <f t="shared" si="3"/>
        <v>44.5</v>
      </c>
    </row>
    <row r="108" spans="2:8" x14ac:dyDescent="0.3">
      <c r="B108" s="84" t="s">
        <v>368</v>
      </c>
      <c r="C108" s="84" t="s">
        <v>352</v>
      </c>
      <c r="D108" s="131">
        <v>27</v>
      </c>
      <c r="E108" s="132" t="s">
        <v>307</v>
      </c>
      <c r="F108" s="132" t="s">
        <v>308</v>
      </c>
      <c r="G108" s="132">
        <v>16</v>
      </c>
      <c r="H108" s="50">
        <f t="shared" si="3"/>
        <v>1.6875</v>
      </c>
    </row>
    <row r="109" spans="2:8" x14ac:dyDescent="0.3">
      <c r="B109" s="130"/>
      <c r="C109" s="130"/>
      <c r="D109" s="133"/>
      <c r="E109" s="134"/>
      <c r="F109" s="134"/>
      <c r="G109" s="134"/>
      <c r="H109" s="66" t="str">
        <f t="shared" si="3"/>
        <v/>
      </c>
    </row>
    <row r="110" spans="2:8" x14ac:dyDescent="0.3">
      <c r="D110" s="42"/>
      <c r="E110" s="42"/>
      <c r="F110" s="42"/>
      <c r="G110" s="42"/>
    </row>
    <row r="111" spans="2:8" ht="28.8" x14ac:dyDescent="0.3">
      <c r="B111" s="28" t="s">
        <v>369</v>
      </c>
      <c r="C111" s="28" t="s">
        <v>84</v>
      </c>
      <c r="D111" s="68" t="s">
        <v>218</v>
      </c>
      <c r="E111" s="68" t="s">
        <v>219</v>
      </c>
      <c r="F111" s="68" t="s">
        <v>79</v>
      </c>
      <c r="G111" s="68" t="s">
        <v>220</v>
      </c>
      <c r="H111" s="60" t="s">
        <v>80</v>
      </c>
    </row>
    <row r="112" spans="2:8" x14ac:dyDescent="0.3">
      <c r="B112" s="84" t="s">
        <v>370</v>
      </c>
      <c r="C112" s="84" t="s">
        <v>371</v>
      </c>
      <c r="D112" s="131">
        <v>75</v>
      </c>
      <c r="E112" s="132" t="s">
        <v>269</v>
      </c>
      <c r="F112" s="132" t="s">
        <v>289</v>
      </c>
      <c r="G112" s="132">
        <v>128</v>
      </c>
      <c r="H112" s="50">
        <f t="shared" ref="H112:H132" si="4">IFERROR(D112/G112,"")</f>
        <v>0.5859375</v>
      </c>
    </row>
    <row r="113" spans="2:8" x14ac:dyDescent="0.3">
      <c r="B113" s="84" t="s">
        <v>372</v>
      </c>
      <c r="C113" s="84" t="s">
        <v>371</v>
      </c>
      <c r="D113" s="131">
        <v>135</v>
      </c>
      <c r="E113" s="132" t="s">
        <v>269</v>
      </c>
      <c r="F113" s="132" t="s">
        <v>289</v>
      </c>
      <c r="G113" s="132">
        <v>128</v>
      </c>
      <c r="H113" s="50">
        <f t="shared" si="4"/>
        <v>1.0546875</v>
      </c>
    </row>
    <row r="114" spans="2:8" x14ac:dyDescent="0.3">
      <c r="B114" s="84" t="s">
        <v>373</v>
      </c>
      <c r="C114" s="84" t="s">
        <v>374</v>
      </c>
      <c r="D114" s="131">
        <v>58</v>
      </c>
      <c r="E114" s="132" t="s">
        <v>269</v>
      </c>
      <c r="F114" s="132" t="s">
        <v>289</v>
      </c>
      <c r="G114" s="132">
        <v>128</v>
      </c>
      <c r="H114" s="50">
        <f t="shared" si="4"/>
        <v>0.453125</v>
      </c>
    </row>
    <row r="115" spans="2:8" x14ac:dyDescent="0.3">
      <c r="B115" s="84" t="s">
        <v>375</v>
      </c>
      <c r="C115" s="84" t="s">
        <v>376</v>
      </c>
      <c r="D115" s="131">
        <v>247</v>
      </c>
      <c r="E115" s="132" t="s">
        <v>269</v>
      </c>
      <c r="F115" s="132" t="s">
        <v>289</v>
      </c>
      <c r="G115" s="132">
        <v>128</v>
      </c>
      <c r="H115" s="50">
        <f t="shared" si="4"/>
        <v>1.9296875</v>
      </c>
    </row>
    <row r="116" spans="2:8" x14ac:dyDescent="0.3">
      <c r="B116" s="84" t="s">
        <v>377</v>
      </c>
      <c r="C116" s="84" t="s">
        <v>374</v>
      </c>
      <c r="D116" s="131">
        <v>45</v>
      </c>
      <c r="E116" s="132" t="s">
        <v>269</v>
      </c>
      <c r="F116" s="132" t="s">
        <v>289</v>
      </c>
      <c r="G116" s="132">
        <v>128</v>
      </c>
      <c r="H116" s="50">
        <f t="shared" si="4"/>
        <v>0.3515625</v>
      </c>
    </row>
    <row r="117" spans="2:8" x14ac:dyDescent="0.3">
      <c r="B117" s="84" t="s">
        <v>378</v>
      </c>
      <c r="C117" s="84" t="s">
        <v>374</v>
      </c>
      <c r="D117" s="131">
        <v>87</v>
      </c>
      <c r="E117" s="132" t="s">
        <v>269</v>
      </c>
      <c r="F117" s="132" t="s">
        <v>289</v>
      </c>
      <c r="G117" s="132">
        <v>128</v>
      </c>
      <c r="H117" s="50">
        <f t="shared" si="4"/>
        <v>0.6796875</v>
      </c>
    </row>
    <row r="118" spans="2:8" x14ac:dyDescent="0.3">
      <c r="B118" s="84" t="s">
        <v>379</v>
      </c>
      <c r="C118" s="84" t="s">
        <v>380</v>
      </c>
      <c r="D118" s="131">
        <v>63.05</v>
      </c>
      <c r="E118" s="132" t="s">
        <v>269</v>
      </c>
      <c r="F118" s="132" t="s">
        <v>245</v>
      </c>
      <c r="G118" s="132">
        <v>8</v>
      </c>
      <c r="H118" s="50">
        <f t="shared" si="4"/>
        <v>7.8812499999999996</v>
      </c>
    </row>
    <row r="119" spans="2:8" x14ac:dyDescent="0.3">
      <c r="B119" s="84" t="s">
        <v>381</v>
      </c>
      <c r="C119" s="84" t="s">
        <v>382</v>
      </c>
      <c r="D119" s="131">
        <v>1265</v>
      </c>
      <c r="E119" s="132" t="s">
        <v>269</v>
      </c>
      <c r="F119" s="132" t="s">
        <v>289</v>
      </c>
      <c r="G119" s="132">
        <v>128</v>
      </c>
      <c r="H119" s="50">
        <f t="shared" si="4"/>
        <v>9.8828125</v>
      </c>
    </row>
    <row r="120" spans="2:8" x14ac:dyDescent="0.3">
      <c r="B120" s="84" t="s">
        <v>383</v>
      </c>
      <c r="C120" s="84" t="s">
        <v>384</v>
      </c>
      <c r="D120" s="131">
        <v>145</v>
      </c>
      <c r="E120" s="132" t="s">
        <v>269</v>
      </c>
      <c r="F120" s="132" t="s">
        <v>289</v>
      </c>
      <c r="G120" s="132">
        <v>128</v>
      </c>
      <c r="H120" s="50">
        <f t="shared" si="4"/>
        <v>1.1328125</v>
      </c>
    </row>
    <row r="121" spans="2:8" x14ac:dyDescent="0.3">
      <c r="B121" s="84" t="s">
        <v>385</v>
      </c>
      <c r="C121" s="84" t="s">
        <v>386</v>
      </c>
      <c r="D121" s="131">
        <v>110</v>
      </c>
      <c r="E121" s="132" t="s">
        <v>269</v>
      </c>
      <c r="F121" s="132" t="s">
        <v>289</v>
      </c>
      <c r="G121" s="132">
        <v>128</v>
      </c>
      <c r="H121" s="50">
        <f t="shared" si="4"/>
        <v>0.859375</v>
      </c>
    </row>
    <row r="122" spans="2:8" x14ac:dyDescent="0.3">
      <c r="B122" s="84" t="s">
        <v>387</v>
      </c>
      <c r="C122" s="84" t="s">
        <v>388</v>
      </c>
      <c r="D122" s="131">
        <v>12.95</v>
      </c>
      <c r="E122" s="132" t="s">
        <v>307</v>
      </c>
      <c r="F122" s="132" t="s">
        <v>223</v>
      </c>
      <c r="G122" s="132">
        <v>1</v>
      </c>
      <c r="H122" s="50">
        <f t="shared" si="4"/>
        <v>12.95</v>
      </c>
    </row>
    <row r="123" spans="2:8" x14ac:dyDescent="0.3">
      <c r="B123" s="84" t="s">
        <v>389</v>
      </c>
      <c r="C123" s="84" t="s">
        <v>390</v>
      </c>
      <c r="D123" s="131">
        <v>218</v>
      </c>
      <c r="E123" s="132" t="s">
        <v>269</v>
      </c>
      <c r="F123" s="132" t="s">
        <v>289</v>
      </c>
      <c r="G123" s="132">
        <v>128</v>
      </c>
      <c r="H123" s="50">
        <f t="shared" si="4"/>
        <v>1.703125</v>
      </c>
    </row>
    <row r="124" spans="2:8" x14ac:dyDescent="0.3">
      <c r="B124" s="84" t="s">
        <v>391</v>
      </c>
      <c r="C124" s="84" t="s">
        <v>392</v>
      </c>
      <c r="D124" s="131">
        <v>272</v>
      </c>
      <c r="E124" s="132" t="s">
        <v>269</v>
      </c>
      <c r="F124" s="132" t="s">
        <v>289</v>
      </c>
      <c r="G124" s="132">
        <v>128</v>
      </c>
      <c r="H124" s="50">
        <f t="shared" si="4"/>
        <v>2.125</v>
      </c>
    </row>
    <row r="125" spans="2:8" x14ac:dyDescent="0.3">
      <c r="B125" s="84" t="s">
        <v>393</v>
      </c>
      <c r="C125" s="84" t="s">
        <v>394</v>
      </c>
      <c r="D125" s="131">
        <v>40</v>
      </c>
      <c r="E125" s="132" t="s">
        <v>269</v>
      </c>
      <c r="F125" s="132" t="s">
        <v>245</v>
      </c>
      <c r="G125" s="132">
        <v>8</v>
      </c>
      <c r="H125" s="50">
        <f t="shared" si="4"/>
        <v>5</v>
      </c>
    </row>
    <row r="126" spans="2:8" x14ac:dyDescent="0.3">
      <c r="B126" s="84" t="s">
        <v>395</v>
      </c>
      <c r="C126" s="84" t="s">
        <v>396</v>
      </c>
      <c r="D126" s="131">
        <v>80</v>
      </c>
      <c r="E126" s="132" t="s">
        <v>269</v>
      </c>
      <c r="F126" s="132" t="s">
        <v>245</v>
      </c>
      <c r="G126" s="132">
        <v>8</v>
      </c>
      <c r="H126" s="50">
        <f t="shared" si="4"/>
        <v>10</v>
      </c>
    </row>
    <row r="127" spans="2:8" x14ac:dyDescent="0.3">
      <c r="B127" s="84" t="s">
        <v>397</v>
      </c>
      <c r="C127" s="84" t="s">
        <v>398</v>
      </c>
      <c r="D127" s="131">
        <v>891</v>
      </c>
      <c r="E127" s="132" t="s">
        <v>269</v>
      </c>
      <c r="F127" s="132" t="s">
        <v>289</v>
      </c>
      <c r="G127" s="132">
        <v>128</v>
      </c>
      <c r="H127" s="50">
        <f t="shared" si="4"/>
        <v>6.9609375</v>
      </c>
    </row>
    <row r="128" spans="2:8" x14ac:dyDescent="0.3">
      <c r="B128" s="84" t="s">
        <v>399</v>
      </c>
      <c r="C128" s="84" t="s">
        <v>400</v>
      </c>
      <c r="D128" s="131">
        <v>306</v>
      </c>
      <c r="E128" s="132" t="s">
        <v>269</v>
      </c>
      <c r="F128" s="132" t="s">
        <v>289</v>
      </c>
      <c r="G128" s="132">
        <v>128</v>
      </c>
      <c r="H128" s="50">
        <f t="shared" si="4"/>
        <v>2.390625</v>
      </c>
    </row>
    <row r="129" spans="2:8" x14ac:dyDescent="0.3">
      <c r="B129" s="84" t="s">
        <v>401</v>
      </c>
      <c r="C129" s="84" t="s">
        <v>402</v>
      </c>
      <c r="D129" s="131">
        <v>321</v>
      </c>
      <c r="E129" s="132" t="s">
        <v>269</v>
      </c>
      <c r="F129" s="132" t="s">
        <v>289</v>
      </c>
      <c r="G129" s="132">
        <v>128</v>
      </c>
      <c r="H129" s="50">
        <f t="shared" si="4"/>
        <v>2.5078125</v>
      </c>
    </row>
    <row r="130" spans="2:8" x14ac:dyDescent="0.3">
      <c r="B130" s="84" t="s">
        <v>403</v>
      </c>
      <c r="C130" s="84" t="s">
        <v>404</v>
      </c>
      <c r="D130" s="131">
        <v>4.8499999999999996</v>
      </c>
      <c r="E130" s="132" t="s">
        <v>307</v>
      </c>
      <c r="F130" s="132" t="s">
        <v>223</v>
      </c>
      <c r="G130" s="132">
        <v>1</v>
      </c>
      <c r="H130" s="50">
        <f t="shared" si="4"/>
        <v>4.8499999999999996</v>
      </c>
    </row>
    <row r="131" spans="2:8" x14ac:dyDescent="0.3">
      <c r="B131" s="84" t="s">
        <v>405</v>
      </c>
      <c r="C131" s="84" t="s">
        <v>406</v>
      </c>
      <c r="D131" s="131">
        <v>150</v>
      </c>
      <c r="E131" s="132" t="s">
        <v>269</v>
      </c>
      <c r="F131" s="132" t="s">
        <v>289</v>
      </c>
      <c r="G131" s="132">
        <v>128</v>
      </c>
      <c r="H131" s="50">
        <f t="shared" si="4"/>
        <v>1.171875</v>
      </c>
    </row>
    <row r="132" spans="2:8" x14ac:dyDescent="0.3">
      <c r="B132" s="130"/>
      <c r="C132" s="130"/>
      <c r="D132" s="133"/>
      <c r="E132" s="134"/>
      <c r="F132" s="134"/>
      <c r="G132" s="134"/>
      <c r="H132" s="50" t="str">
        <f t="shared" si="4"/>
        <v/>
      </c>
    </row>
    <row r="133" spans="2:8" x14ac:dyDescent="0.3">
      <c r="D133" s="42"/>
      <c r="E133" s="42"/>
      <c r="F133" s="42"/>
      <c r="G133" s="42"/>
    </row>
    <row r="134" spans="2:8" ht="28.8" x14ac:dyDescent="0.3">
      <c r="B134" s="28" t="s">
        <v>407</v>
      </c>
      <c r="C134" s="28" t="s">
        <v>84</v>
      </c>
      <c r="D134" s="68" t="s">
        <v>218</v>
      </c>
      <c r="E134" s="68" t="s">
        <v>219</v>
      </c>
      <c r="F134" s="68" t="s">
        <v>79</v>
      </c>
      <c r="G134" s="68" t="s">
        <v>220</v>
      </c>
      <c r="H134" s="60" t="s">
        <v>80</v>
      </c>
    </row>
    <row r="135" spans="2:8" x14ac:dyDescent="0.3">
      <c r="B135" s="84" t="s">
        <v>408</v>
      </c>
      <c r="C135" s="84" t="s">
        <v>409</v>
      </c>
      <c r="D135" s="131">
        <v>6.61</v>
      </c>
      <c r="E135" s="132" t="s">
        <v>307</v>
      </c>
      <c r="F135" s="132" t="s">
        <v>223</v>
      </c>
      <c r="G135" s="132">
        <v>1</v>
      </c>
      <c r="H135" s="50">
        <f t="shared" ref="H135:H140" si="5">IFERROR(D135/G135,"")</f>
        <v>6.61</v>
      </c>
    </row>
    <row r="136" spans="2:8" x14ac:dyDescent="0.3">
      <c r="B136" s="84" t="s">
        <v>410</v>
      </c>
      <c r="C136" s="84" t="s">
        <v>411</v>
      </c>
      <c r="D136" s="131">
        <v>353</v>
      </c>
      <c r="E136" s="132" t="s">
        <v>269</v>
      </c>
      <c r="F136" s="132" t="s">
        <v>289</v>
      </c>
      <c r="G136" s="132">
        <v>128</v>
      </c>
      <c r="H136" s="50">
        <f t="shared" si="5"/>
        <v>2.7578125</v>
      </c>
    </row>
    <row r="137" spans="2:8" x14ac:dyDescent="0.3">
      <c r="B137" s="84" t="s">
        <v>412</v>
      </c>
      <c r="C137" s="84" t="s">
        <v>413</v>
      </c>
      <c r="D137" s="131">
        <v>39.5</v>
      </c>
      <c r="E137" s="132" t="s">
        <v>269</v>
      </c>
      <c r="F137" s="132" t="s">
        <v>244</v>
      </c>
      <c r="G137" s="132">
        <v>1</v>
      </c>
      <c r="H137" s="50">
        <f t="shared" si="5"/>
        <v>39.5</v>
      </c>
    </row>
    <row r="138" spans="2:8" x14ac:dyDescent="0.3">
      <c r="B138" s="84" t="s">
        <v>414</v>
      </c>
      <c r="C138" s="84" t="s">
        <v>415</v>
      </c>
      <c r="D138" s="131">
        <v>708</v>
      </c>
      <c r="E138" s="132" t="s">
        <v>269</v>
      </c>
      <c r="F138" s="132" t="s">
        <v>289</v>
      </c>
      <c r="G138" s="132">
        <v>128</v>
      </c>
      <c r="H138" s="50">
        <f t="shared" si="5"/>
        <v>5.53125</v>
      </c>
    </row>
    <row r="139" spans="2:8" x14ac:dyDescent="0.3">
      <c r="B139" s="84" t="s">
        <v>416</v>
      </c>
      <c r="C139" s="84" t="s">
        <v>417</v>
      </c>
      <c r="D139" s="131">
        <v>106</v>
      </c>
      <c r="E139" s="132" t="s">
        <v>269</v>
      </c>
      <c r="F139" s="132" t="s">
        <v>289</v>
      </c>
      <c r="G139" s="132">
        <v>128</v>
      </c>
      <c r="H139" s="50">
        <f t="shared" si="5"/>
        <v>0.828125</v>
      </c>
    </row>
    <row r="140" spans="2:8" x14ac:dyDescent="0.3">
      <c r="B140" s="130"/>
      <c r="C140" s="130"/>
      <c r="D140" s="133"/>
      <c r="E140" s="134"/>
      <c r="F140" s="134"/>
      <c r="G140" s="134"/>
      <c r="H140" s="66" t="str">
        <f t="shared" si="5"/>
        <v/>
      </c>
    </row>
    <row r="141" spans="2:8" x14ac:dyDescent="0.3">
      <c r="D141" s="42"/>
      <c r="E141" s="42"/>
      <c r="F141" s="42"/>
      <c r="G141" s="42"/>
    </row>
    <row r="142" spans="2:8" ht="28.8" x14ac:dyDescent="0.3">
      <c r="B142" s="28" t="s">
        <v>88</v>
      </c>
      <c r="C142" s="28" t="s">
        <v>418</v>
      </c>
      <c r="D142" s="68" t="s">
        <v>218</v>
      </c>
      <c r="E142" s="68" t="s">
        <v>219</v>
      </c>
      <c r="F142" s="68" t="s">
        <v>79</v>
      </c>
      <c r="G142" s="68" t="s">
        <v>220</v>
      </c>
      <c r="H142" s="60" t="s">
        <v>80</v>
      </c>
    </row>
    <row r="143" spans="2:8" x14ac:dyDescent="0.3">
      <c r="B143" s="84" t="s">
        <v>419</v>
      </c>
      <c r="C143" s="84" t="s">
        <v>420</v>
      </c>
      <c r="D143" s="131">
        <v>19.25</v>
      </c>
      <c r="E143" s="132" t="s">
        <v>269</v>
      </c>
      <c r="F143" s="132" t="s">
        <v>245</v>
      </c>
      <c r="G143" s="132">
        <v>8</v>
      </c>
      <c r="H143" s="50">
        <f t="shared" ref="H143:H153" si="6">IFERROR(D143/G143,"")</f>
        <v>2.40625</v>
      </c>
    </row>
    <row r="144" spans="2:8" x14ac:dyDescent="0.3">
      <c r="B144" s="84" t="s">
        <v>421</v>
      </c>
      <c r="C144" s="84" t="s">
        <v>420</v>
      </c>
      <c r="D144" s="131">
        <v>26</v>
      </c>
      <c r="E144" s="132" t="s">
        <v>269</v>
      </c>
      <c r="F144" s="132" t="s">
        <v>245</v>
      </c>
      <c r="G144" s="132">
        <v>8</v>
      </c>
      <c r="H144" s="50">
        <f t="shared" si="6"/>
        <v>3.25</v>
      </c>
    </row>
    <row r="145" spans="2:8" x14ac:dyDescent="0.3">
      <c r="B145" s="84" t="s">
        <v>422</v>
      </c>
      <c r="C145" s="84" t="s">
        <v>628</v>
      </c>
      <c r="D145" s="131">
        <v>0.45</v>
      </c>
      <c r="E145" s="132" t="s">
        <v>307</v>
      </c>
      <c r="F145" s="132" t="s">
        <v>307</v>
      </c>
      <c r="G145" s="132">
        <v>1</v>
      </c>
      <c r="H145" s="50">
        <f t="shared" si="6"/>
        <v>0.45</v>
      </c>
    </row>
    <row r="146" spans="2:8" x14ac:dyDescent="0.3">
      <c r="B146" s="84" t="s">
        <v>627</v>
      </c>
      <c r="C146" s="84"/>
      <c r="D146" s="131">
        <v>4</v>
      </c>
      <c r="E146" s="132" t="s">
        <v>199</v>
      </c>
      <c r="F146" s="132" t="s">
        <v>199</v>
      </c>
      <c r="G146" s="132">
        <v>1</v>
      </c>
      <c r="H146" s="50">
        <f t="shared" si="6"/>
        <v>4</v>
      </c>
    </row>
    <row r="147" spans="2:8" x14ac:dyDescent="0.3">
      <c r="B147" s="84"/>
      <c r="C147" s="84"/>
      <c r="D147" s="131"/>
      <c r="E147" s="132"/>
      <c r="F147" s="132"/>
      <c r="G147" s="132"/>
      <c r="H147" s="50" t="str">
        <f t="shared" si="6"/>
        <v/>
      </c>
    </row>
    <row r="148" spans="2:8" x14ac:dyDescent="0.3">
      <c r="B148" s="84"/>
      <c r="C148" s="84"/>
      <c r="D148" s="131"/>
      <c r="E148" s="132"/>
      <c r="F148" s="132"/>
      <c r="G148" s="132"/>
      <c r="H148" s="50" t="str">
        <f t="shared" si="6"/>
        <v/>
      </c>
    </row>
    <row r="149" spans="2:8" x14ac:dyDescent="0.3">
      <c r="B149" s="84"/>
      <c r="C149" s="84"/>
      <c r="D149" s="131"/>
      <c r="E149" s="132"/>
      <c r="F149" s="132"/>
      <c r="G149" s="132"/>
      <c r="H149" s="50" t="str">
        <f t="shared" si="6"/>
        <v/>
      </c>
    </row>
    <row r="150" spans="2:8" x14ac:dyDescent="0.3">
      <c r="B150" s="84"/>
      <c r="C150" s="84"/>
      <c r="D150" s="131"/>
      <c r="E150" s="132"/>
      <c r="F150" s="132"/>
      <c r="G150" s="132"/>
      <c r="H150" s="50" t="str">
        <f t="shared" si="6"/>
        <v/>
      </c>
    </row>
    <row r="151" spans="2:8" x14ac:dyDescent="0.3">
      <c r="B151" s="84"/>
      <c r="C151" s="84"/>
      <c r="D151" s="131"/>
      <c r="E151" s="132"/>
      <c r="F151" s="132"/>
      <c r="G151" s="132"/>
      <c r="H151" s="50" t="str">
        <f t="shared" si="6"/>
        <v/>
      </c>
    </row>
    <row r="152" spans="2:8" x14ac:dyDescent="0.3">
      <c r="B152" s="84"/>
      <c r="C152" s="84"/>
      <c r="D152" s="131"/>
      <c r="E152" s="132"/>
      <c r="F152" s="132"/>
      <c r="G152" s="132"/>
      <c r="H152" s="50" t="str">
        <f t="shared" si="6"/>
        <v/>
      </c>
    </row>
    <row r="153" spans="2:8" x14ac:dyDescent="0.3">
      <c r="B153" s="130"/>
      <c r="C153" s="130"/>
      <c r="D153" s="133"/>
      <c r="E153" s="134"/>
      <c r="F153" s="134"/>
      <c r="G153" s="134"/>
      <c r="H153" s="66" t="str">
        <f t="shared" si="6"/>
        <v/>
      </c>
    </row>
  </sheetData>
  <sheetProtection algorithmName="SHA-512" hashValue="34SpxaHsfWBJJYhxEGKnmecMeZuUDiTYbInqdzgm/NWCXnRwO8lVQzXKT1DEzE9prtU41jX8H9WYYuU11nb4gg==" saltValue="8xfnA/FButnBClBUkFm8OA==" spinCount="100000" sheet="1" objects="1" scenarios="1"/>
  <mergeCells count="1">
    <mergeCell ref="B1:H1"/>
  </mergeCells>
  <pageMargins left="0.7" right="0.7" top="0.75" bottom="0.75" header="0.3" footer="0.3"/>
  <tableParts count="7">
    <tablePart r:id="rId1"/>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7A885-2183-401F-A35C-F6509F167823}">
  <sheetPr>
    <tabColor rgb="FFFA4616"/>
  </sheetPr>
  <dimension ref="B1:P320"/>
  <sheetViews>
    <sheetView workbookViewId="0"/>
  </sheetViews>
  <sheetFormatPr defaultColWidth="8.88671875" defaultRowHeight="14.4" x14ac:dyDescent="0.3"/>
  <cols>
    <col min="1" max="1" width="4.6640625" style="37" customWidth="1"/>
    <col min="2" max="2" width="62.6640625" style="37" customWidth="1"/>
    <col min="3" max="3" width="25.6640625" style="37" customWidth="1"/>
    <col min="4" max="4" width="15.6640625" style="37" customWidth="1"/>
    <col min="5" max="5" width="11.88671875" style="37" customWidth="1"/>
    <col min="6" max="6" width="14.6640625" style="37" customWidth="1"/>
    <col min="7" max="8" width="10.6640625" style="37" customWidth="1"/>
    <col min="9" max="9" width="14.6640625" style="37" customWidth="1"/>
    <col min="10" max="10" width="15.6640625" style="37" customWidth="1"/>
    <col min="11" max="11" width="13.6640625" style="37" customWidth="1"/>
    <col min="12" max="12" width="15.6640625" style="37" customWidth="1"/>
    <col min="13" max="16" width="13.6640625" style="37" customWidth="1"/>
    <col min="17" max="17" width="8.88671875" style="37"/>
    <col min="18" max="18" width="31.109375" style="37" customWidth="1"/>
    <col min="19" max="16384" width="8.88671875" style="37"/>
  </cols>
  <sheetData>
    <row r="1" spans="2:16" ht="18.600000000000001" thickBot="1" x14ac:dyDescent="0.4">
      <c r="B1" s="208" t="s">
        <v>423</v>
      </c>
      <c r="C1" s="208"/>
      <c r="D1" s="208"/>
      <c r="E1" s="208"/>
      <c r="F1" s="208"/>
      <c r="G1" s="208"/>
      <c r="H1" s="208"/>
      <c r="I1" s="208"/>
      <c r="J1" s="208"/>
      <c r="K1" s="208"/>
      <c r="L1" s="208"/>
      <c r="M1" s="208"/>
      <c r="N1" s="208"/>
      <c r="O1" s="208"/>
      <c r="P1" s="208"/>
    </row>
    <row r="3" spans="2:16" x14ac:dyDescent="0.3">
      <c r="B3" s="7" t="s">
        <v>424</v>
      </c>
      <c r="C3" s="135">
        <v>8.43E-2</v>
      </c>
    </row>
    <row r="5" spans="2:16" x14ac:dyDescent="0.3">
      <c r="B5" s="234" t="s">
        <v>425</v>
      </c>
      <c r="C5" s="234"/>
      <c r="D5" s="234"/>
      <c r="E5" s="234"/>
      <c r="F5" s="234"/>
      <c r="G5" s="234"/>
      <c r="H5" s="234"/>
      <c r="I5" s="235"/>
      <c r="J5" s="232" t="s">
        <v>426</v>
      </c>
      <c r="K5" s="233"/>
      <c r="L5" s="233"/>
      <c r="M5" s="233"/>
      <c r="N5" s="232" t="s">
        <v>427</v>
      </c>
      <c r="O5" s="233"/>
      <c r="P5" s="233"/>
    </row>
    <row r="6" spans="2:16" ht="30" customHeight="1" x14ac:dyDescent="0.3">
      <c r="B6" s="28" t="s">
        <v>428</v>
      </c>
      <c r="C6" s="28" t="s">
        <v>429</v>
      </c>
      <c r="D6" s="28" t="s">
        <v>120</v>
      </c>
      <c r="E6" s="60" t="s">
        <v>430</v>
      </c>
      <c r="F6" s="61" t="s">
        <v>431</v>
      </c>
      <c r="G6" s="60" t="s">
        <v>432</v>
      </c>
      <c r="H6" s="60" t="s">
        <v>433</v>
      </c>
      <c r="I6" s="60" t="s">
        <v>434</v>
      </c>
      <c r="J6" s="62" t="s">
        <v>435</v>
      </c>
      <c r="K6" s="60" t="s">
        <v>436</v>
      </c>
      <c r="L6" s="60" t="s">
        <v>437</v>
      </c>
      <c r="M6" s="60" t="s">
        <v>438</v>
      </c>
      <c r="N6" s="62" t="s">
        <v>439</v>
      </c>
      <c r="O6" s="61" t="s">
        <v>440</v>
      </c>
      <c r="P6" s="61" t="s">
        <v>441</v>
      </c>
    </row>
    <row r="7" spans="2:16" x14ac:dyDescent="0.3">
      <c r="B7" s="84" t="s">
        <v>442</v>
      </c>
      <c r="C7" s="84" t="s">
        <v>451</v>
      </c>
      <c r="D7" s="84" t="s">
        <v>188</v>
      </c>
      <c r="E7" s="84">
        <v>240</v>
      </c>
      <c r="F7" s="136">
        <v>458168</v>
      </c>
      <c r="G7" s="113">
        <v>400</v>
      </c>
      <c r="H7" s="113">
        <v>15</v>
      </c>
      <c r="I7" s="137">
        <f t="shared" ref="I7:I23" si="0">F7*(VLOOKUP(C7,MachineCoefficientTable,2,FALSE)-(VLOOKUP(C7,MachineCoefficientTable,3,FALSE)*(H7^0.5))-(VLOOKUP(C7,MachineCoefficientTable,4,FALSE)*(G7^0.5)))^2</f>
        <v>104296.7705861307</v>
      </c>
      <c r="J7" s="138">
        <f t="shared" ref="J7:J23" si="1">IF(ISBLANK(B7),"",PMT(InterestRate_Machinery,H7,-F7,I7,1))</f>
        <v>47243.966086352957</v>
      </c>
      <c r="K7" s="139">
        <f t="shared" ref="K7:K23" si="2">F7*0.02</f>
        <v>9163.36</v>
      </c>
      <c r="L7" s="140">
        <f t="shared" ref="L7:L23" si="3">J7+K7</f>
        <v>56407.326086352958</v>
      </c>
      <c r="M7" s="137">
        <f t="shared" ref="M7:M23" si="4">(VLOOKUP(C7,MachineCoefficientTable,5,FALSE)*F7*((G7*H7)/1000)^VLOOKUP(C7,MachineCoefficientTable,6,FALSE))/H7</f>
        <v>3298.8096000000005</v>
      </c>
      <c r="N7" s="138">
        <f t="shared" ref="N7:N23" si="5">L7/G7</f>
        <v>141.01831521588238</v>
      </c>
      <c r="O7" s="140">
        <f t="shared" ref="O7:O23" si="6">M7/G7</f>
        <v>8.2470240000000015</v>
      </c>
      <c r="P7" s="141">
        <f t="shared" ref="P7:P23" si="7">0.0438*E7*1.15</f>
        <v>12.088799999999999</v>
      </c>
    </row>
    <row r="8" spans="2:16" x14ac:dyDescent="0.3">
      <c r="B8" s="84" t="s">
        <v>444</v>
      </c>
      <c r="C8" s="84" t="s">
        <v>451</v>
      </c>
      <c r="D8" s="84" t="s">
        <v>188</v>
      </c>
      <c r="E8" s="84">
        <v>340</v>
      </c>
      <c r="F8" s="136">
        <v>662516</v>
      </c>
      <c r="G8" s="113">
        <v>400</v>
      </c>
      <c r="H8" s="113">
        <v>15</v>
      </c>
      <c r="I8" s="137">
        <f t="shared" si="0"/>
        <v>150814.28485106109</v>
      </c>
      <c r="J8" s="138">
        <f t="shared" si="1"/>
        <v>68315.297959844902</v>
      </c>
      <c r="K8" s="139">
        <f t="shared" si="2"/>
        <v>13250.32</v>
      </c>
      <c r="L8" s="140">
        <f t="shared" si="3"/>
        <v>81565.617959844909</v>
      </c>
      <c r="M8" s="137">
        <f t="shared" si="4"/>
        <v>4770.1152000000002</v>
      </c>
      <c r="N8" s="138">
        <f t="shared" si="5"/>
        <v>203.91404489961226</v>
      </c>
      <c r="O8" s="140">
        <f t="shared" si="6"/>
        <v>11.925288</v>
      </c>
      <c r="P8" s="141">
        <f t="shared" si="7"/>
        <v>17.125799999999998</v>
      </c>
    </row>
    <row r="9" spans="2:16" x14ac:dyDescent="0.3">
      <c r="B9" s="84" t="s">
        <v>445</v>
      </c>
      <c r="C9" s="84" t="s">
        <v>451</v>
      </c>
      <c r="D9" s="84" t="s">
        <v>188</v>
      </c>
      <c r="E9" s="84">
        <v>350</v>
      </c>
      <c r="F9" s="136">
        <v>771876</v>
      </c>
      <c r="G9" s="113">
        <v>400</v>
      </c>
      <c r="H9" s="113">
        <v>15</v>
      </c>
      <c r="I9" s="137">
        <f t="shared" si="0"/>
        <v>175708.85372383104</v>
      </c>
      <c r="J9" s="138">
        <f t="shared" si="1"/>
        <v>79591.947859452819</v>
      </c>
      <c r="K9" s="139">
        <f t="shared" si="2"/>
        <v>15437.52</v>
      </c>
      <c r="L9" s="140">
        <f t="shared" si="3"/>
        <v>95029.467859452823</v>
      </c>
      <c r="M9" s="137">
        <f t="shared" si="4"/>
        <v>5557.5072000000009</v>
      </c>
      <c r="N9" s="138">
        <f t="shared" si="5"/>
        <v>237.57366964863206</v>
      </c>
      <c r="O9" s="140">
        <f t="shared" si="6"/>
        <v>13.893768000000001</v>
      </c>
      <c r="P9" s="141">
        <f t="shared" si="7"/>
        <v>17.6295</v>
      </c>
    </row>
    <row r="10" spans="2:16" x14ac:dyDescent="0.3">
      <c r="B10" s="84" t="s">
        <v>446</v>
      </c>
      <c r="C10" s="84" t="s">
        <v>451</v>
      </c>
      <c r="D10" s="84" t="s">
        <v>188</v>
      </c>
      <c r="E10" s="84">
        <v>320</v>
      </c>
      <c r="F10" s="136">
        <v>611736</v>
      </c>
      <c r="G10" s="113">
        <v>400</v>
      </c>
      <c r="H10" s="113">
        <v>15</v>
      </c>
      <c r="I10" s="137">
        <f t="shared" si="0"/>
        <v>139254.7913675273</v>
      </c>
      <c r="J10" s="138">
        <f t="shared" si="1"/>
        <v>63079.121278223742</v>
      </c>
      <c r="K10" s="139">
        <f t="shared" si="2"/>
        <v>12234.720000000001</v>
      </c>
      <c r="L10" s="140">
        <f t="shared" si="3"/>
        <v>75313.841278223743</v>
      </c>
      <c r="M10" s="137">
        <f t="shared" si="4"/>
        <v>4404.4992000000002</v>
      </c>
      <c r="N10" s="138">
        <f t="shared" si="5"/>
        <v>188.28460319555936</v>
      </c>
      <c r="O10" s="140">
        <f t="shared" si="6"/>
        <v>11.011248</v>
      </c>
      <c r="P10" s="141">
        <f t="shared" si="7"/>
        <v>16.118399999999998</v>
      </c>
    </row>
    <row r="11" spans="2:16" x14ac:dyDescent="0.3">
      <c r="B11" s="84" t="s">
        <v>447</v>
      </c>
      <c r="C11" s="84" t="s">
        <v>451</v>
      </c>
      <c r="D11" s="84" t="s">
        <v>188</v>
      </c>
      <c r="E11" s="84">
        <v>345</v>
      </c>
      <c r="F11" s="136">
        <v>647933</v>
      </c>
      <c r="G11" s="113">
        <v>400</v>
      </c>
      <c r="H11" s="113">
        <v>15</v>
      </c>
      <c r="I11" s="137">
        <f t="shared" si="0"/>
        <v>147494.62960351535</v>
      </c>
      <c r="J11" s="138">
        <f t="shared" si="1"/>
        <v>66811.572781662908</v>
      </c>
      <c r="K11" s="139">
        <f t="shared" si="2"/>
        <v>12958.66</v>
      </c>
      <c r="L11" s="140">
        <f t="shared" si="3"/>
        <v>79770.232781662911</v>
      </c>
      <c r="M11" s="137">
        <f t="shared" si="4"/>
        <v>4665.1175999999996</v>
      </c>
      <c r="N11" s="138">
        <f t="shared" si="5"/>
        <v>199.42558195415728</v>
      </c>
      <c r="O11" s="140">
        <f t="shared" si="6"/>
        <v>11.662793999999998</v>
      </c>
      <c r="P11" s="141">
        <f t="shared" si="7"/>
        <v>17.377649999999996</v>
      </c>
    </row>
    <row r="12" spans="2:16" x14ac:dyDescent="0.3">
      <c r="B12" s="84" t="s">
        <v>448</v>
      </c>
      <c r="C12" s="84" t="s">
        <v>449</v>
      </c>
      <c r="D12" s="84" t="s">
        <v>188</v>
      </c>
      <c r="E12" s="84">
        <v>335</v>
      </c>
      <c r="F12" s="136">
        <v>873600</v>
      </c>
      <c r="G12" s="113">
        <v>400</v>
      </c>
      <c r="H12" s="113">
        <v>15</v>
      </c>
      <c r="I12" s="137">
        <f t="shared" si="0"/>
        <v>98015.030884253632</v>
      </c>
      <c r="J12" s="138">
        <f t="shared" si="1"/>
        <v>93393.729358047654</v>
      </c>
      <c r="K12" s="139">
        <f t="shared" si="2"/>
        <v>17472</v>
      </c>
      <c r="L12" s="140">
        <f t="shared" si="3"/>
        <v>110865.72935804765</v>
      </c>
      <c r="M12" s="137">
        <f t="shared" si="4"/>
        <v>100322.64723038492</v>
      </c>
      <c r="N12" s="138">
        <f t="shared" si="5"/>
        <v>277.16432339511914</v>
      </c>
      <c r="O12" s="140">
        <f t="shared" si="6"/>
        <v>250.80661807596229</v>
      </c>
      <c r="P12" s="141">
        <f t="shared" si="7"/>
        <v>16.873949999999997</v>
      </c>
    </row>
    <row r="13" spans="2:16" x14ac:dyDescent="0.3">
      <c r="B13" s="84" t="s">
        <v>450</v>
      </c>
      <c r="C13" s="84" t="s">
        <v>451</v>
      </c>
      <c r="D13" s="84" t="s">
        <v>188</v>
      </c>
      <c r="E13" s="84">
        <v>160</v>
      </c>
      <c r="F13" s="136">
        <v>260880</v>
      </c>
      <c r="G13" s="113">
        <v>800</v>
      </c>
      <c r="H13" s="113">
        <v>20</v>
      </c>
      <c r="I13" s="137">
        <f t="shared" si="0"/>
        <v>39695.254633526769</v>
      </c>
      <c r="J13" s="138">
        <f t="shared" si="1"/>
        <v>24532.048787196261</v>
      </c>
      <c r="K13" s="139">
        <f t="shared" si="2"/>
        <v>5217.6000000000004</v>
      </c>
      <c r="L13" s="140">
        <f t="shared" si="3"/>
        <v>29749.64878719626</v>
      </c>
      <c r="M13" s="137">
        <f t="shared" si="4"/>
        <v>10017.791999999999</v>
      </c>
      <c r="N13" s="138">
        <f t="shared" si="5"/>
        <v>37.187060983995323</v>
      </c>
      <c r="O13" s="140">
        <f t="shared" si="6"/>
        <v>12.52224</v>
      </c>
      <c r="P13" s="141">
        <f t="shared" si="7"/>
        <v>8.0591999999999988</v>
      </c>
    </row>
    <row r="14" spans="2:16" x14ac:dyDescent="0.3">
      <c r="B14" s="84" t="s">
        <v>452</v>
      </c>
      <c r="C14" s="84" t="s">
        <v>451</v>
      </c>
      <c r="D14" s="84" t="s">
        <v>188</v>
      </c>
      <c r="E14" s="84">
        <v>180</v>
      </c>
      <c r="F14" s="136">
        <v>296132</v>
      </c>
      <c r="G14" s="113">
        <v>800</v>
      </c>
      <c r="H14" s="113">
        <v>20</v>
      </c>
      <c r="I14" s="137">
        <f t="shared" si="0"/>
        <v>45059.165689725349</v>
      </c>
      <c r="J14" s="138">
        <f t="shared" si="1"/>
        <v>27846.997360663925</v>
      </c>
      <c r="K14" s="139">
        <f t="shared" si="2"/>
        <v>5922.64</v>
      </c>
      <c r="L14" s="140">
        <f t="shared" si="3"/>
        <v>33769.637360663924</v>
      </c>
      <c r="M14" s="137">
        <f t="shared" si="4"/>
        <v>11371.468800000001</v>
      </c>
      <c r="N14" s="138">
        <f t="shared" si="5"/>
        <v>42.212046700829909</v>
      </c>
      <c r="O14" s="140">
        <f t="shared" si="6"/>
        <v>14.214336000000001</v>
      </c>
      <c r="P14" s="141">
        <f t="shared" si="7"/>
        <v>9.0665999999999993</v>
      </c>
    </row>
    <row r="15" spans="2:16" x14ac:dyDescent="0.3">
      <c r="B15" s="84" t="s">
        <v>453</v>
      </c>
      <c r="C15" s="84" t="s">
        <v>451</v>
      </c>
      <c r="D15" s="84" t="s">
        <v>188</v>
      </c>
      <c r="E15" s="84">
        <v>210</v>
      </c>
      <c r="F15" s="136">
        <v>343036</v>
      </c>
      <c r="G15" s="113">
        <v>800</v>
      </c>
      <c r="H15" s="113">
        <v>20</v>
      </c>
      <c r="I15" s="137">
        <f t="shared" si="0"/>
        <v>52196.034071092028</v>
      </c>
      <c r="J15" s="138">
        <f t="shared" si="1"/>
        <v>32257.650597073971</v>
      </c>
      <c r="K15" s="139">
        <f t="shared" si="2"/>
        <v>6860.72</v>
      </c>
      <c r="L15" s="140">
        <f t="shared" si="3"/>
        <v>39118.370597073968</v>
      </c>
      <c r="M15" s="137">
        <f t="shared" si="4"/>
        <v>13172.582399999999</v>
      </c>
      <c r="N15" s="138">
        <f t="shared" si="5"/>
        <v>48.897963246342464</v>
      </c>
      <c r="O15" s="140">
        <f t="shared" si="6"/>
        <v>16.465727999999999</v>
      </c>
      <c r="P15" s="141">
        <f t="shared" si="7"/>
        <v>10.5777</v>
      </c>
    </row>
    <row r="16" spans="2:16" x14ac:dyDescent="0.3">
      <c r="B16" s="84" t="s">
        <v>454</v>
      </c>
      <c r="C16" s="84" t="s">
        <v>451</v>
      </c>
      <c r="D16" s="84" t="s">
        <v>188</v>
      </c>
      <c r="E16" s="84">
        <v>235</v>
      </c>
      <c r="F16" s="136">
        <v>371142</v>
      </c>
      <c r="G16" s="113">
        <v>800</v>
      </c>
      <c r="H16" s="113">
        <v>20</v>
      </c>
      <c r="I16" s="137">
        <f t="shared" si="0"/>
        <v>56472.616510259089</v>
      </c>
      <c r="J16" s="138">
        <f t="shared" si="1"/>
        <v>34900.619637295291</v>
      </c>
      <c r="K16" s="139">
        <f t="shared" si="2"/>
        <v>7422.84</v>
      </c>
      <c r="L16" s="140">
        <f t="shared" si="3"/>
        <v>42323.459637295295</v>
      </c>
      <c r="M16" s="137">
        <f t="shared" si="4"/>
        <v>14251.852799999999</v>
      </c>
      <c r="N16" s="138">
        <f t="shared" si="5"/>
        <v>52.904324546619115</v>
      </c>
      <c r="O16" s="140">
        <f t="shared" si="6"/>
        <v>17.814815999999997</v>
      </c>
      <c r="P16" s="141">
        <f t="shared" si="7"/>
        <v>11.836949999999998</v>
      </c>
    </row>
    <row r="17" spans="2:16" x14ac:dyDescent="0.3">
      <c r="B17" s="84" t="s">
        <v>455</v>
      </c>
      <c r="C17" s="84" t="s">
        <v>451</v>
      </c>
      <c r="D17" s="84" t="s">
        <v>188</v>
      </c>
      <c r="E17" s="84">
        <v>260</v>
      </c>
      <c r="F17" s="136">
        <v>418111</v>
      </c>
      <c r="G17" s="113">
        <v>800</v>
      </c>
      <c r="H17" s="113">
        <v>20</v>
      </c>
      <c r="I17" s="137">
        <f t="shared" si="0"/>
        <v>63619.375230291742</v>
      </c>
      <c r="J17" s="138">
        <f t="shared" si="1"/>
        <v>39317.385198035176</v>
      </c>
      <c r="K17" s="139">
        <f t="shared" si="2"/>
        <v>8362.2199999999993</v>
      </c>
      <c r="L17" s="140">
        <f t="shared" si="3"/>
        <v>47679.605198035177</v>
      </c>
      <c r="M17" s="137">
        <f t="shared" si="4"/>
        <v>16055.4624</v>
      </c>
      <c r="N17" s="138">
        <f t="shared" si="5"/>
        <v>59.59950649754397</v>
      </c>
      <c r="O17" s="140">
        <f t="shared" si="6"/>
        <v>20.069327999999999</v>
      </c>
      <c r="P17" s="141">
        <f t="shared" si="7"/>
        <v>13.0962</v>
      </c>
    </row>
    <row r="18" spans="2:16" x14ac:dyDescent="0.3">
      <c r="B18" s="84" t="s">
        <v>456</v>
      </c>
      <c r="C18" s="84" t="s">
        <v>451</v>
      </c>
      <c r="D18" s="84" t="s">
        <v>188</v>
      </c>
      <c r="E18" s="84">
        <v>290</v>
      </c>
      <c r="F18" s="136">
        <v>459163</v>
      </c>
      <c r="G18" s="113">
        <v>800</v>
      </c>
      <c r="H18" s="113">
        <v>20</v>
      </c>
      <c r="I18" s="137">
        <f t="shared" si="0"/>
        <v>69865.80881360799</v>
      </c>
      <c r="J18" s="138">
        <f t="shared" si="1"/>
        <v>43177.741173242088</v>
      </c>
      <c r="K18" s="139">
        <f t="shared" si="2"/>
        <v>9183.26</v>
      </c>
      <c r="L18" s="140">
        <f t="shared" si="3"/>
        <v>52361.00117324209</v>
      </c>
      <c r="M18" s="137">
        <f t="shared" si="4"/>
        <v>17631.859199999999</v>
      </c>
      <c r="N18" s="138">
        <f t="shared" si="5"/>
        <v>65.451251466552606</v>
      </c>
      <c r="O18" s="140">
        <f t="shared" si="6"/>
        <v>22.039823999999999</v>
      </c>
      <c r="P18" s="141">
        <f t="shared" si="7"/>
        <v>14.607299999999999</v>
      </c>
    </row>
    <row r="19" spans="2:16" x14ac:dyDescent="0.3">
      <c r="B19" s="84" t="s">
        <v>457</v>
      </c>
      <c r="C19" s="84" t="s">
        <v>451</v>
      </c>
      <c r="D19" s="84" t="s">
        <v>188</v>
      </c>
      <c r="E19" s="84">
        <v>310</v>
      </c>
      <c r="F19" s="136">
        <v>475839</v>
      </c>
      <c r="G19" s="113">
        <v>800</v>
      </c>
      <c r="H19" s="113">
        <v>20</v>
      </c>
      <c r="I19" s="137">
        <f t="shared" si="0"/>
        <v>72403.213238127661</v>
      </c>
      <c r="J19" s="138">
        <f t="shared" si="1"/>
        <v>44745.881489001389</v>
      </c>
      <c r="K19" s="139">
        <f t="shared" si="2"/>
        <v>9516.7800000000007</v>
      </c>
      <c r="L19" s="140">
        <f t="shared" si="3"/>
        <v>54262.661489001388</v>
      </c>
      <c r="M19" s="137">
        <f t="shared" si="4"/>
        <v>18272.2176</v>
      </c>
      <c r="N19" s="138">
        <f t="shared" si="5"/>
        <v>67.828326861251739</v>
      </c>
      <c r="O19" s="140">
        <f t="shared" si="6"/>
        <v>22.840271999999999</v>
      </c>
      <c r="P19" s="141">
        <f t="shared" si="7"/>
        <v>15.614699999999997</v>
      </c>
    </row>
    <row r="20" spans="2:16" x14ac:dyDescent="0.3">
      <c r="B20" s="84" t="s">
        <v>458</v>
      </c>
      <c r="C20" s="84" t="s">
        <v>451</v>
      </c>
      <c r="D20" s="84" t="s">
        <v>188</v>
      </c>
      <c r="E20" s="84">
        <v>330</v>
      </c>
      <c r="F20" s="136">
        <v>543960</v>
      </c>
      <c r="G20" s="113">
        <v>800</v>
      </c>
      <c r="H20" s="113">
        <v>20</v>
      </c>
      <c r="I20" s="137">
        <f t="shared" si="0"/>
        <v>82768.44031912458</v>
      </c>
      <c r="J20" s="138">
        <f t="shared" si="1"/>
        <v>51151.691422429009</v>
      </c>
      <c r="K20" s="139">
        <f t="shared" si="2"/>
        <v>10879.2</v>
      </c>
      <c r="L20" s="140">
        <f t="shared" si="3"/>
        <v>62030.891422429006</v>
      </c>
      <c r="M20" s="137">
        <f t="shared" si="4"/>
        <v>20888.064000000002</v>
      </c>
      <c r="N20" s="138">
        <f t="shared" si="5"/>
        <v>77.538614278036263</v>
      </c>
      <c r="O20" s="140">
        <f t="shared" si="6"/>
        <v>26.110080000000004</v>
      </c>
      <c r="P20" s="141">
        <f t="shared" si="7"/>
        <v>16.622099999999996</v>
      </c>
    </row>
    <row r="21" spans="2:16" x14ac:dyDescent="0.3">
      <c r="B21" s="84" t="s">
        <v>459</v>
      </c>
      <c r="C21" s="84" t="s">
        <v>451</v>
      </c>
      <c r="D21" s="84" t="s">
        <v>188</v>
      </c>
      <c r="E21" s="84">
        <v>355</v>
      </c>
      <c r="F21" s="136">
        <v>564449</v>
      </c>
      <c r="G21" s="113">
        <v>800</v>
      </c>
      <c r="H21" s="113">
        <v>20</v>
      </c>
      <c r="I21" s="137">
        <f t="shared" si="0"/>
        <v>85886.027225695914</v>
      </c>
      <c r="J21" s="138">
        <f t="shared" si="1"/>
        <v>53078.390086952408</v>
      </c>
      <c r="K21" s="139">
        <f t="shared" si="2"/>
        <v>11288.98</v>
      </c>
      <c r="L21" s="140">
        <f t="shared" si="3"/>
        <v>64367.370086952404</v>
      </c>
      <c r="M21" s="137">
        <f t="shared" si="4"/>
        <v>21674.8416</v>
      </c>
      <c r="N21" s="138">
        <f t="shared" si="5"/>
        <v>80.459212608690507</v>
      </c>
      <c r="O21" s="140">
        <f t="shared" si="6"/>
        <v>27.093551999999999</v>
      </c>
      <c r="P21" s="141">
        <f t="shared" si="7"/>
        <v>17.881349999999998</v>
      </c>
    </row>
    <row r="22" spans="2:16" x14ac:dyDescent="0.3">
      <c r="B22" s="84" t="s">
        <v>460</v>
      </c>
      <c r="C22" s="84" t="s">
        <v>451</v>
      </c>
      <c r="D22" s="84" t="s">
        <v>188</v>
      </c>
      <c r="E22" s="84">
        <v>390</v>
      </c>
      <c r="F22" s="136">
        <v>614052</v>
      </c>
      <c r="G22" s="113">
        <v>800</v>
      </c>
      <c r="H22" s="113">
        <v>20</v>
      </c>
      <c r="I22" s="137">
        <f t="shared" si="0"/>
        <v>93433.5729002851</v>
      </c>
      <c r="J22" s="138">
        <f t="shared" si="1"/>
        <v>57742.845836689048</v>
      </c>
      <c r="K22" s="139">
        <f t="shared" si="2"/>
        <v>12281.04</v>
      </c>
      <c r="L22" s="140">
        <f t="shared" si="3"/>
        <v>70023.885836689049</v>
      </c>
      <c r="M22" s="137">
        <f t="shared" si="4"/>
        <v>23579.596799999999</v>
      </c>
      <c r="N22" s="138">
        <f t="shared" si="5"/>
        <v>87.529857295861305</v>
      </c>
      <c r="O22" s="140">
        <f t="shared" si="6"/>
        <v>29.474495999999998</v>
      </c>
      <c r="P22" s="141">
        <f t="shared" si="7"/>
        <v>19.644299999999998</v>
      </c>
    </row>
    <row r="23" spans="2:16" x14ac:dyDescent="0.3">
      <c r="B23" s="130" t="s">
        <v>461</v>
      </c>
      <c r="C23" s="130" t="s">
        <v>451</v>
      </c>
      <c r="D23" s="130" t="s">
        <v>188</v>
      </c>
      <c r="E23" s="130">
        <v>415</v>
      </c>
      <c r="F23" s="142">
        <v>633477</v>
      </c>
      <c r="G23" s="143">
        <v>800</v>
      </c>
      <c r="H23" s="143">
        <v>20</v>
      </c>
      <c r="I23" s="144">
        <f t="shared" si="0"/>
        <v>96389.262570847262</v>
      </c>
      <c r="J23" s="145">
        <f t="shared" si="1"/>
        <v>59569.490453720973</v>
      </c>
      <c r="K23" s="146">
        <f t="shared" si="2"/>
        <v>12669.54</v>
      </c>
      <c r="L23" s="147">
        <f t="shared" si="3"/>
        <v>72239.030453720974</v>
      </c>
      <c r="M23" s="144">
        <f t="shared" si="4"/>
        <v>24325.516800000001</v>
      </c>
      <c r="N23" s="145">
        <f t="shared" si="5"/>
        <v>90.298788067151222</v>
      </c>
      <c r="O23" s="147">
        <f t="shared" si="6"/>
        <v>30.406896000000003</v>
      </c>
      <c r="P23" s="148">
        <f t="shared" si="7"/>
        <v>20.903549999999999</v>
      </c>
    </row>
    <row r="24" spans="2:16" x14ac:dyDescent="0.3">
      <c r="D24" s="42"/>
      <c r="F24" s="41"/>
      <c r="G24" s="41"/>
      <c r="H24" s="41"/>
      <c r="I24" s="41"/>
      <c r="J24" s="41"/>
      <c r="K24" s="41"/>
      <c r="L24" s="41"/>
      <c r="M24" s="41"/>
      <c r="N24" s="41"/>
      <c r="O24" s="41"/>
      <c r="P24" s="41"/>
    </row>
    <row r="25" spans="2:16" x14ac:dyDescent="0.3">
      <c r="B25" s="20" t="s">
        <v>462</v>
      </c>
      <c r="C25" s="20"/>
      <c r="D25" s="63"/>
      <c r="E25" s="29"/>
      <c r="F25" s="64"/>
      <c r="G25" s="64"/>
      <c r="H25" s="64"/>
      <c r="I25" s="65"/>
      <c r="J25" s="232" t="s">
        <v>426</v>
      </c>
      <c r="K25" s="233"/>
      <c r="L25" s="233"/>
      <c r="M25" s="233"/>
      <c r="N25" s="232" t="s">
        <v>427</v>
      </c>
      <c r="O25" s="233"/>
      <c r="P25" s="42"/>
    </row>
    <row r="26" spans="2:16" ht="28.8" x14ac:dyDescent="0.3">
      <c r="B26" s="28" t="s">
        <v>428</v>
      </c>
      <c r="C26" s="28" t="s">
        <v>429</v>
      </c>
      <c r="D26" s="68" t="s">
        <v>463</v>
      </c>
      <c r="E26" s="68" t="s">
        <v>464</v>
      </c>
      <c r="F26" s="61" t="s">
        <v>431</v>
      </c>
      <c r="G26" s="60" t="s">
        <v>432</v>
      </c>
      <c r="H26" s="60" t="s">
        <v>433</v>
      </c>
      <c r="I26" s="61" t="s">
        <v>434</v>
      </c>
      <c r="J26" s="62" t="s">
        <v>435</v>
      </c>
      <c r="K26" s="61" t="s">
        <v>465</v>
      </c>
      <c r="L26" s="60" t="s">
        <v>437</v>
      </c>
      <c r="M26" s="60" t="s">
        <v>438</v>
      </c>
      <c r="N26" s="62" t="s">
        <v>439</v>
      </c>
      <c r="O26" s="61" t="s">
        <v>440</v>
      </c>
      <c r="P26" s="40"/>
    </row>
    <row r="27" spans="2:16" x14ac:dyDescent="0.3">
      <c r="B27" s="84" t="s">
        <v>466</v>
      </c>
      <c r="C27" s="84" t="s">
        <v>467</v>
      </c>
      <c r="D27" s="132">
        <v>15</v>
      </c>
      <c r="E27" s="149">
        <v>6</v>
      </c>
      <c r="F27" s="152">
        <v>22000</v>
      </c>
      <c r="G27" s="84">
        <v>100</v>
      </c>
      <c r="H27" s="84">
        <v>20</v>
      </c>
      <c r="I27" s="137">
        <f t="shared" ref="I27:I90" si="8">F27*(VLOOKUP(C27,MachineCoefficientTable,2,FALSE)-(VLOOKUP(C27,MachineCoefficientTable,3,FALSE)*(H27^0.5))-(VLOOKUP(C27,MachineCoefficientTable,4,FALSE)*(G27^0.5)))^2</f>
        <v>4387.7949800224751</v>
      </c>
      <c r="J27" s="138">
        <f t="shared" ref="J27:J90" si="9">IF(ISBLANK(B27),"",PMT(InterestRate_Machinery,H27,-F27,I27,1))</f>
        <v>2048.7992738222629</v>
      </c>
      <c r="K27" s="151">
        <f t="shared" ref="K27:K90" si="10">F27*0.02</f>
        <v>440</v>
      </c>
      <c r="L27" s="140">
        <f t="shared" ref="L27:L90" si="11">J27+K27</f>
        <v>2488.7992738222629</v>
      </c>
      <c r="M27" s="137">
        <f t="shared" ref="M27:M90" si="12">(VLOOKUP(C27,MachineCoefficientTable,5,FALSE)*F27*((G27*H27)/1000)^VLOOKUP(C27,MachineCoefficientTable,6,FALSE))/H27</f>
        <v>433.36283349741052</v>
      </c>
      <c r="N27" s="138">
        <f t="shared" ref="N27:N90" si="13">L27/G27</f>
        <v>24.887992738222628</v>
      </c>
      <c r="O27" s="140">
        <f t="shared" ref="O27:O90" si="14">M27/G27</f>
        <v>4.3336283349741054</v>
      </c>
    </row>
    <row r="28" spans="2:16" x14ac:dyDescent="0.3">
      <c r="B28" s="84" t="s">
        <v>468</v>
      </c>
      <c r="C28" s="84" t="s">
        <v>467</v>
      </c>
      <c r="D28" s="132">
        <v>20</v>
      </c>
      <c r="E28" s="149">
        <v>6</v>
      </c>
      <c r="F28" s="152">
        <v>25500</v>
      </c>
      <c r="G28" s="84">
        <v>100</v>
      </c>
      <c r="H28" s="84">
        <v>20</v>
      </c>
      <c r="I28" s="137">
        <f t="shared" si="8"/>
        <v>5085.8532722987784</v>
      </c>
      <c r="J28" s="138">
        <f t="shared" si="9"/>
        <v>2374.7446128394404</v>
      </c>
      <c r="K28" s="151">
        <f t="shared" si="10"/>
        <v>510</v>
      </c>
      <c r="L28" s="140">
        <f t="shared" si="11"/>
        <v>2884.7446128394404</v>
      </c>
      <c r="M28" s="137">
        <f t="shared" si="12"/>
        <v>502.30692064472589</v>
      </c>
      <c r="N28" s="138">
        <f t="shared" si="13"/>
        <v>28.847446128394402</v>
      </c>
      <c r="O28" s="140">
        <f t="shared" si="14"/>
        <v>5.0230692064472588</v>
      </c>
    </row>
    <row r="29" spans="2:16" x14ac:dyDescent="0.3">
      <c r="B29" s="84" t="s">
        <v>469</v>
      </c>
      <c r="C29" s="84" t="s">
        <v>467</v>
      </c>
      <c r="D29" s="132">
        <v>30</v>
      </c>
      <c r="E29" s="149">
        <v>6</v>
      </c>
      <c r="F29" s="152">
        <v>34100</v>
      </c>
      <c r="G29" s="84">
        <v>100</v>
      </c>
      <c r="H29" s="84">
        <v>20</v>
      </c>
      <c r="I29" s="137">
        <f t="shared" si="8"/>
        <v>6801.0822190348372</v>
      </c>
      <c r="J29" s="138">
        <f t="shared" si="9"/>
        <v>3175.6388744245064</v>
      </c>
      <c r="K29" s="151">
        <f t="shared" si="10"/>
        <v>682</v>
      </c>
      <c r="L29" s="140">
        <f t="shared" si="11"/>
        <v>3857.6388744245064</v>
      </c>
      <c r="M29" s="137">
        <f t="shared" si="12"/>
        <v>671.71239192098642</v>
      </c>
      <c r="N29" s="138">
        <f t="shared" si="13"/>
        <v>38.576388744245065</v>
      </c>
      <c r="O29" s="140">
        <f t="shared" si="14"/>
        <v>6.7171239192098646</v>
      </c>
    </row>
    <row r="30" spans="2:16" x14ac:dyDescent="0.3">
      <c r="B30" s="84" t="s">
        <v>470</v>
      </c>
      <c r="C30" s="84" t="s">
        <v>471</v>
      </c>
      <c r="D30" s="132">
        <v>12</v>
      </c>
      <c r="E30" s="149">
        <v>5.5</v>
      </c>
      <c r="F30" s="152">
        <v>85621</v>
      </c>
      <c r="G30" s="84">
        <v>100</v>
      </c>
      <c r="H30" s="84">
        <v>20</v>
      </c>
      <c r="I30" s="137">
        <f t="shared" si="8"/>
        <v>13635.393415756218</v>
      </c>
      <c r="J30" s="138">
        <f t="shared" si="9"/>
        <v>8039.7659392059932</v>
      </c>
      <c r="K30" s="151">
        <f t="shared" si="10"/>
        <v>1712.42</v>
      </c>
      <c r="L30" s="140">
        <f t="shared" si="11"/>
        <v>9752.1859392059923</v>
      </c>
      <c r="M30" s="137">
        <f t="shared" si="12"/>
        <v>2503.6510474230204</v>
      </c>
      <c r="N30" s="138">
        <f t="shared" si="13"/>
        <v>97.521859392059923</v>
      </c>
      <c r="O30" s="140">
        <f t="shared" si="14"/>
        <v>25.036510474230205</v>
      </c>
    </row>
    <row r="31" spans="2:16" x14ac:dyDescent="0.3">
      <c r="B31" s="84" t="s">
        <v>472</v>
      </c>
      <c r="C31" s="84" t="s">
        <v>471</v>
      </c>
      <c r="D31" s="132">
        <v>20</v>
      </c>
      <c r="E31" s="149">
        <v>5.5</v>
      </c>
      <c r="F31" s="152">
        <v>90784</v>
      </c>
      <c r="G31" s="84">
        <v>100</v>
      </c>
      <c r="H31" s="84">
        <v>20</v>
      </c>
      <c r="I31" s="137">
        <f t="shared" si="8"/>
        <v>14457.61619060759</v>
      </c>
      <c r="J31" s="138">
        <f t="shared" si="9"/>
        <v>8524.5688677412891</v>
      </c>
      <c r="K31" s="151">
        <f t="shared" si="10"/>
        <v>1815.68</v>
      </c>
      <c r="L31" s="140">
        <f t="shared" si="11"/>
        <v>10340.248867741289</v>
      </c>
      <c r="M31" s="137">
        <f t="shared" si="12"/>
        <v>2654.6227758289615</v>
      </c>
      <c r="N31" s="138">
        <f t="shared" si="13"/>
        <v>103.40248867741289</v>
      </c>
      <c r="O31" s="140">
        <f t="shared" si="14"/>
        <v>26.546227758289614</v>
      </c>
    </row>
    <row r="32" spans="2:16" x14ac:dyDescent="0.3">
      <c r="B32" s="84" t="s">
        <v>473</v>
      </c>
      <c r="C32" s="84" t="s">
        <v>471</v>
      </c>
      <c r="D32" s="132">
        <v>28</v>
      </c>
      <c r="E32" s="149">
        <v>5.5</v>
      </c>
      <c r="F32" s="152">
        <v>115308</v>
      </c>
      <c r="G32" s="84">
        <v>100</v>
      </c>
      <c r="H32" s="84">
        <v>20</v>
      </c>
      <c r="I32" s="137">
        <f t="shared" si="8"/>
        <v>18363.134557924084</v>
      </c>
      <c r="J32" s="138">
        <f t="shared" si="9"/>
        <v>10827.359303418141</v>
      </c>
      <c r="K32" s="151">
        <f t="shared" si="10"/>
        <v>2306.16</v>
      </c>
      <c r="L32" s="140">
        <f t="shared" si="11"/>
        <v>13133.519303418141</v>
      </c>
      <c r="M32" s="137">
        <f t="shared" si="12"/>
        <v>3371.7311754856128</v>
      </c>
      <c r="N32" s="138">
        <f t="shared" si="13"/>
        <v>131.3351930341814</v>
      </c>
      <c r="O32" s="140">
        <f t="shared" si="14"/>
        <v>33.717311754856127</v>
      </c>
    </row>
    <row r="33" spans="2:15" x14ac:dyDescent="0.3">
      <c r="B33" s="84" t="s">
        <v>474</v>
      </c>
      <c r="C33" s="84" t="s">
        <v>475</v>
      </c>
      <c r="D33" s="132">
        <v>15</v>
      </c>
      <c r="E33" s="149">
        <v>5.5</v>
      </c>
      <c r="F33" s="152">
        <v>18974</v>
      </c>
      <c r="G33" s="84">
        <v>75</v>
      </c>
      <c r="H33" s="84">
        <v>20</v>
      </c>
      <c r="I33" s="137">
        <f t="shared" si="8"/>
        <v>3784.2737250430205</v>
      </c>
      <c r="J33" s="138">
        <f t="shared" si="9"/>
        <v>1766.9962464319824</v>
      </c>
      <c r="K33" s="151">
        <f t="shared" si="10"/>
        <v>379.48</v>
      </c>
      <c r="L33" s="140">
        <f t="shared" si="11"/>
        <v>2146.4762464319824</v>
      </c>
      <c r="M33" s="137">
        <f t="shared" si="12"/>
        <v>1012.4838085961834</v>
      </c>
      <c r="N33" s="138">
        <f t="shared" si="13"/>
        <v>28.619683285759766</v>
      </c>
      <c r="O33" s="140">
        <f t="shared" si="14"/>
        <v>13.499784114615778</v>
      </c>
    </row>
    <row r="34" spans="2:15" x14ac:dyDescent="0.3">
      <c r="B34" s="84" t="s">
        <v>476</v>
      </c>
      <c r="C34" s="84" t="s">
        <v>475</v>
      </c>
      <c r="D34" s="132">
        <v>15</v>
      </c>
      <c r="E34" s="149">
        <v>5.5</v>
      </c>
      <c r="F34" s="152">
        <v>26449</v>
      </c>
      <c r="G34" s="84">
        <v>75</v>
      </c>
      <c r="H34" s="84">
        <v>20</v>
      </c>
      <c r="I34" s="137">
        <f t="shared" si="8"/>
        <v>5275.1267921188391</v>
      </c>
      <c r="J34" s="138">
        <f t="shared" si="9"/>
        <v>2463.122363332955</v>
      </c>
      <c r="K34" s="151">
        <f t="shared" si="10"/>
        <v>528.98</v>
      </c>
      <c r="L34" s="140">
        <f t="shared" si="11"/>
        <v>2992.1023633329551</v>
      </c>
      <c r="M34" s="137">
        <f t="shared" si="12"/>
        <v>1411.3620877811979</v>
      </c>
      <c r="N34" s="138">
        <f t="shared" si="13"/>
        <v>39.894698177772732</v>
      </c>
      <c r="O34" s="140">
        <f t="shared" si="14"/>
        <v>18.818161170415973</v>
      </c>
    </row>
    <row r="35" spans="2:15" ht="15" customHeight="1" x14ac:dyDescent="0.3">
      <c r="B35" s="84" t="s">
        <v>477</v>
      </c>
      <c r="C35" s="84" t="s">
        <v>475</v>
      </c>
      <c r="D35" s="132">
        <v>15</v>
      </c>
      <c r="E35" s="149">
        <v>5.5</v>
      </c>
      <c r="F35" s="152">
        <v>20157</v>
      </c>
      <c r="G35" s="84">
        <v>75</v>
      </c>
      <c r="H35" s="84">
        <v>20</v>
      </c>
      <c r="I35" s="137">
        <f t="shared" si="8"/>
        <v>4020.217427832411</v>
      </c>
      <c r="J35" s="138">
        <f t="shared" si="9"/>
        <v>1877.1657710197885</v>
      </c>
      <c r="K35" s="151">
        <f t="shared" si="10"/>
        <v>403.14</v>
      </c>
      <c r="L35" s="140">
        <f t="shared" si="11"/>
        <v>2280.3057710197886</v>
      </c>
      <c r="M35" s="137">
        <f t="shared" si="12"/>
        <v>1075.6106319106814</v>
      </c>
      <c r="N35" s="138">
        <f t="shared" si="13"/>
        <v>30.404076946930516</v>
      </c>
      <c r="O35" s="140">
        <f t="shared" si="14"/>
        <v>14.341475092142419</v>
      </c>
    </row>
    <row r="36" spans="2:15" x14ac:dyDescent="0.3">
      <c r="B36" s="84" t="s">
        <v>478</v>
      </c>
      <c r="C36" s="84" t="s">
        <v>475</v>
      </c>
      <c r="D36" s="132">
        <v>15</v>
      </c>
      <c r="E36" s="149">
        <v>5.5</v>
      </c>
      <c r="F36" s="152">
        <v>27632</v>
      </c>
      <c r="G36" s="84">
        <v>75</v>
      </c>
      <c r="H36" s="84">
        <v>20</v>
      </c>
      <c r="I36" s="137">
        <f t="shared" si="8"/>
        <v>5511.0704949082292</v>
      </c>
      <c r="J36" s="138">
        <f t="shared" si="9"/>
        <v>2573.2918879207618</v>
      </c>
      <c r="K36" s="151">
        <f t="shared" si="10"/>
        <v>552.64</v>
      </c>
      <c r="L36" s="140">
        <f t="shared" si="11"/>
        <v>3125.9318879207617</v>
      </c>
      <c r="M36" s="137">
        <f t="shared" si="12"/>
        <v>1474.488911095696</v>
      </c>
      <c r="N36" s="138">
        <f t="shared" si="13"/>
        <v>41.679091838943492</v>
      </c>
      <c r="O36" s="140">
        <f t="shared" si="14"/>
        <v>19.659852147942615</v>
      </c>
    </row>
    <row r="37" spans="2:15" x14ac:dyDescent="0.3">
      <c r="B37" s="84" t="s">
        <v>479</v>
      </c>
      <c r="C37" s="84" t="s">
        <v>475</v>
      </c>
      <c r="D37" s="132">
        <v>15</v>
      </c>
      <c r="E37" s="149">
        <v>5.5</v>
      </c>
      <c r="F37" s="152">
        <v>20941</v>
      </c>
      <c r="G37" s="84">
        <v>75</v>
      </c>
      <c r="H37" s="84">
        <v>20</v>
      </c>
      <c r="I37" s="137">
        <f t="shared" si="8"/>
        <v>4176.5824853023023</v>
      </c>
      <c r="J37" s="138">
        <f t="shared" si="9"/>
        <v>1950.1775269596362</v>
      </c>
      <c r="K37" s="151">
        <f t="shared" si="10"/>
        <v>418.82</v>
      </c>
      <c r="L37" s="140">
        <f t="shared" si="11"/>
        <v>2368.9975269596362</v>
      </c>
      <c r="M37" s="137">
        <f t="shared" si="12"/>
        <v>1117.446159787745</v>
      </c>
      <c r="N37" s="138">
        <f t="shared" si="13"/>
        <v>31.58663369279515</v>
      </c>
      <c r="O37" s="140">
        <f t="shared" si="14"/>
        <v>14.899282130503268</v>
      </c>
    </row>
    <row r="38" spans="2:15" x14ac:dyDescent="0.3">
      <c r="B38" s="84" t="s">
        <v>480</v>
      </c>
      <c r="C38" s="84" t="s">
        <v>475</v>
      </c>
      <c r="D38" s="132">
        <v>15</v>
      </c>
      <c r="E38" s="149">
        <v>5.5</v>
      </c>
      <c r="F38" s="152">
        <v>28416</v>
      </c>
      <c r="G38" s="84">
        <v>75</v>
      </c>
      <c r="H38" s="84">
        <v>20</v>
      </c>
      <c r="I38" s="137">
        <f t="shared" si="8"/>
        <v>5667.4355523781214</v>
      </c>
      <c r="J38" s="138">
        <f t="shared" si="9"/>
        <v>2646.3036438606096</v>
      </c>
      <c r="K38" s="151">
        <f t="shared" si="10"/>
        <v>568.32000000000005</v>
      </c>
      <c r="L38" s="140">
        <f t="shared" si="11"/>
        <v>3214.6236438606097</v>
      </c>
      <c r="M38" s="137">
        <f t="shared" si="12"/>
        <v>1516.3244389727599</v>
      </c>
      <c r="N38" s="138">
        <f t="shared" si="13"/>
        <v>42.86164858480813</v>
      </c>
      <c r="O38" s="140">
        <f t="shared" si="14"/>
        <v>20.217659186303464</v>
      </c>
    </row>
    <row r="39" spans="2:15" x14ac:dyDescent="0.3">
      <c r="B39" s="84" t="s">
        <v>481</v>
      </c>
      <c r="C39" s="84" t="s">
        <v>475</v>
      </c>
      <c r="D39" s="132">
        <v>20</v>
      </c>
      <c r="E39" s="149">
        <v>5.5</v>
      </c>
      <c r="F39" s="152">
        <v>27112</v>
      </c>
      <c r="G39" s="84">
        <v>75</v>
      </c>
      <c r="H39" s="84">
        <v>20</v>
      </c>
      <c r="I39" s="137">
        <f t="shared" si="8"/>
        <v>5407.3589771986071</v>
      </c>
      <c r="J39" s="138">
        <f t="shared" si="9"/>
        <v>2524.8657232667806</v>
      </c>
      <c r="K39" s="151">
        <f t="shared" si="10"/>
        <v>542.24</v>
      </c>
      <c r="L39" s="140">
        <f t="shared" si="11"/>
        <v>3067.1057232667808</v>
      </c>
      <c r="M39" s="137">
        <f t="shared" si="12"/>
        <v>1446.7408568915212</v>
      </c>
      <c r="N39" s="138">
        <f t="shared" si="13"/>
        <v>40.894742976890413</v>
      </c>
      <c r="O39" s="140">
        <f t="shared" si="14"/>
        <v>19.289878091886948</v>
      </c>
    </row>
    <row r="40" spans="2:15" x14ac:dyDescent="0.3">
      <c r="B40" s="84" t="s">
        <v>482</v>
      </c>
      <c r="C40" s="84" t="s">
        <v>475</v>
      </c>
      <c r="D40" s="132">
        <v>20</v>
      </c>
      <c r="E40" s="149">
        <v>5.5</v>
      </c>
      <c r="F40" s="152">
        <v>37078</v>
      </c>
      <c r="G40" s="84">
        <v>75</v>
      </c>
      <c r="H40" s="84">
        <v>20</v>
      </c>
      <c r="I40" s="137">
        <f t="shared" si="8"/>
        <v>7395.0301031487879</v>
      </c>
      <c r="J40" s="138">
        <f t="shared" si="9"/>
        <v>3452.9717943082665</v>
      </c>
      <c r="K40" s="151">
        <f t="shared" si="10"/>
        <v>741.56000000000006</v>
      </c>
      <c r="L40" s="140">
        <f t="shared" si="11"/>
        <v>4194.5317943082664</v>
      </c>
      <c r="M40" s="137">
        <f t="shared" si="12"/>
        <v>1978.5429880430736</v>
      </c>
      <c r="N40" s="138">
        <f t="shared" si="13"/>
        <v>55.927090590776885</v>
      </c>
      <c r="O40" s="140">
        <f t="shared" si="14"/>
        <v>26.380573173907649</v>
      </c>
    </row>
    <row r="41" spans="2:15" x14ac:dyDescent="0.3">
      <c r="B41" s="84" t="s">
        <v>483</v>
      </c>
      <c r="C41" s="84" t="s">
        <v>475</v>
      </c>
      <c r="D41" s="132">
        <v>20</v>
      </c>
      <c r="E41" s="149">
        <v>5.5</v>
      </c>
      <c r="F41" s="152">
        <v>28688</v>
      </c>
      <c r="G41" s="84">
        <v>75</v>
      </c>
      <c r="H41" s="84">
        <v>20</v>
      </c>
      <c r="I41" s="137">
        <f t="shared" si="8"/>
        <v>5721.6846539493081</v>
      </c>
      <c r="J41" s="138">
        <f t="shared" si="9"/>
        <v>2671.6342530642301</v>
      </c>
      <c r="K41" s="151">
        <f t="shared" si="10"/>
        <v>573.76</v>
      </c>
      <c r="L41" s="140">
        <f t="shared" si="11"/>
        <v>3245.3942530642298</v>
      </c>
      <c r="M41" s="137">
        <f t="shared" si="12"/>
        <v>1530.8388057872512</v>
      </c>
      <c r="N41" s="138">
        <f t="shared" si="13"/>
        <v>43.271923374189733</v>
      </c>
      <c r="O41" s="140">
        <f t="shared" si="14"/>
        <v>20.411184077163348</v>
      </c>
    </row>
    <row r="42" spans="2:15" x14ac:dyDescent="0.3">
      <c r="B42" s="84" t="s">
        <v>484</v>
      </c>
      <c r="C42" s="84" t="s">
        <v>475</v>
      </c>
      <c r="D42" s="132">
        <v>20</v>
      </c>
      <c r="E42" s="149">
        <v>5.5</v>
      </c>
      <c r="F42" s="152">
        <v>38654</v>
      </c>
      <c r="G42" s="84">
        <v>75</v>
      </c>
      <c r="H42" s="84">
        <v>20</v>
      </c>
      <c r="I42" s="137">
        <f t="shared" si="8"/>
        <v>7709.3557798994889</v>
      </c>
      <c r="J42" s="138">
        <f t="shared" si="9"/>
        <v>3599.7403241057154</v>
      </c>
      <c r="K42" s="151">
        <f t="shared" si="10"/>
        <v>773.08</v>
      </c>
      <c r="L42" s="140">
        <f t="shared" si="11"/>
        <v>4372.8203241057154</v>
      </c>
      <c r="M42" s="137">
        <f t="shared" si="12"/>
        <v>2062.6409369388043</v>
      </c>
      <c r="N42" s="138">
        <f t="shared" si="13"/>
        <v>58.304270988076205</v>
      </c>
      <c r="O42" s="140">
        <f t="shared" si="14"/>
        <v>27.501879159184057</v>
      </c>
    </row>
    <row r="43" spans="2:15" x14ac:dyDescent="0.3">
      <c r="B43" s="84" t="s">
        <v>485</v>
      </c>
      <c r="C43" s="84" t="s">
        <v>475</v>
      </c>
      <c r="D43" s="132">
        <v>20</v>
      </c>
      <c r="E43" s="149">
        <v>5.5</v>
      </c>
      <c r="F43" s="152">
        <v>29580</v>
      </c>
      <c r="G43" s="84">
        <v>75</v>
      </c>
      <c r="H43" s="84">
        <v>20</v>
      </c>
      <c r="I43" s="137">
        <f t="shared" si="8"/>
        <v>5899.5897958665828</v>
      </c>
      <c r="J43" s="138">
        <f t="shared" si="9"/>
        <v>2754.7037508937515</v>
      </c>
      <c r="K43" s="151">
        <f t="shared" si="10"/>
        <v>591.6</v>
      </c>
      <c r="L43" s="140">
        <f t="shared" si="11"/>
        <v>3346.3037508937514</v>
      </c>
      <c r="M43" s="137">
        <f t="shared" si="12"/>
        <v>1578.4373910759516</v>
      </c>
      <c r="N43" s="138">
        <f t="shared" si="13"/>
        <v>44.617383345250019</v>
      </c>
      <c r="O43" s="140">
        <f t="shared" si="14"/>
        <v>21.045831881012688</v>
      </c>
    </row>
    <row r="44" spans="2:15" x14ac:dyDescent="0.3">
      <c r="B44" s="84" t="s">
        <v>486</v>
      </c>
      <c r="C44" s="84" t="s">
        <v>475</v>
      </c>
      <c r="D44" s="132">
        <v>20</v>
      </c>
      <c r="E44" s="149">
        <v>5.5</v>
      </c>
      <c r="F44" s="152">
        <v>39547</v>
      </c>
      <c r="G44" s="84">
        <v>75</v>
      </c>
      <c r="H44" s="84">
        <v>20</v>
      </c>
      <c r="I44" s="137">
        <f t="shared" si="8"/>
        <v>7887.4603670431288</v>
      </c>
      <c r="J44" s="138">
        <f t="shared" si="9"/>
        <v>3682.9029491749557</v>
      </c>
      <c r="K44" s="151">
        <f t="shared" si="10"/>
        <v>790.94</v>
      </c>
      <c r="L44" s="140">
        <f t="shared" si="11"/>
        <v>4473.8429491749557</v>
      </c>
      <c r="M44" s="137">
        <f t="shared" si="12"/>
        <v>2110.2928838702046</v>
      </c>
      <c r="N44" s="138">
        <f t="shared" si="13"/>
        <v>59.651239322332742</v>
      </c>
      <c r="O44" s="140">
        <f t="shared" si="14"/>
        <v>28.137238451602727</v>
      </c>
    </row>
    <row r="45" spans="2:15" x14ac:dyDescent="0.3">
      <c r="B45" s="84" t="s">
        <v>487</v>
      </c>
      <c r="C45" s="84" t="s">
        <v>475</v>
      </c>
      <c r="D45" s="132">
        <v>30</v>
      </c>
      <c r="E45" s="149">
        <v>5.5</v>
      </c>
      <c r="F45" s="152">
        <v>42735</v>
      </c>
      <c r="G45" s="84">
        <v>75</v>
      </c>
      <c r="H45" s="84">
        <v>20</v>
      </c>
      <c r="I45" s="137">
        <f t="shared" si="8"/>
        <v>8523.2917486936585</v>
      </c>
      <c r="J45" s="138">
        <f t="shared" si="9"/>
        <v>3979.7925893997453</v>
      </c>
      <c r="K45" s="151">
        <f t="shared" si="10"/>
        <v>854.7</v>
      </c>
      <c r="L45" s="140">
        <f t="shared" si="11"/>
        <v>4834.4925893997452</v>
      </c>
      <c r="M45" s="137">
        <f t="shared" si="12"/>
        <v>2280.4098007988769</v>
      </c>
      <c r="N45" s="138">
        <f t="shared" si="13"/>
        <v>64.459901191996607</v>
      </c>
      <c r="O45" s="140">
        <f t="shared" si="14"/>
        <v>30.405464010651691</v>
      </c>
    </row>
    <row r="46" spans="2:15" x14ac:dyDescent="0.3">
      <c r="B46" s="84" t="s">
        <v>488</v>
      </c>
      <c r="C46" s="84" t="s">
        <v>475</v>
      </c>
      <c r="D46" s="132">
        <v>30</v>
      </c>
      <c r="E46" s="149">
        <v>5.5</v>
      </c>
      <c r="F46" s="152">
        <v>57119</v>
      </c>
      <c r="G46" s="84">
        <v>75</v>
      </c>
      <c r="H46" s="84">
        <v>20</v>
      </c>
      <c r="I46" s="137">
        <f t="shared" si="8"/>
        <v>11392.111884722899</v>
      </c>
      <c r="J46" s="138">
        <f t="shared" si="9"/>
        <v>5319.334805520627</v>
      </c>
      <c r="K46" s="151">
        <f t="shared" si="10"/>
        <v>1142.3800000000001</v>
      </c>
      <c r="L46" s="140">
        <f t="shared" si="11"/>
        <v>6461.7148055206271</v>
      </c>
      <c r="M46" s="137">
        <f t="shared" si="12"/>
        <v>3047.9636694005162</v>
      </c>
      <c r="N46" s="138">
        <f t="shared" si="13"/>
        <v>86.1561974069417</v>
      </c>
      <c r="O46" s="140">
        <f t="shared" si="14"/>
        <v>40.63951559200688</v>
      </c>
    </row>
    <row r="47" spans="2:15" x14ac:dyDescent="0.3">
      <c r="B47" s="84" t="s">
        <v>489</v>
      </c>
      <c r="C47" s="84" t="s">
        <v>475</v>
      </c>
      <c r="D47" s="132">
        <v>30</v>
      </c>
      <c r="E47" s="149">
        <v>5.5</v>
      </c>
      <c r="F47" s="152">
        <v>44657</v>
      </c>
      <c r="G47" s="84">
        <v>75</v>
      </c>
      <c r="H47" s="84">
        <v>20</v>
      </c>
      <c r="I47" s="137">
        <f t="shared" si="8"/>
        <v>8906.6254737665313</v>
      </c>
      <c r="J47" s="138">
        <f t="shared" si="9"/>
        <v>4158.7831441400349</v>
      </c>
      <c r="K47" s="151">
        <f t="shared" si="10"/>
        <v>893.14</v>
      </c>
      <c r="L47" s="140">
        <f t="shared" si="11"/>
        <v>5051.9231441400352</v>
      </c>
      <c r="M47" s="137">
        <f t="shared" si="12"/>
        <v>2382.9708780689234</v>
      </c>
      <c r="N47" s="138">
        <f t="shared" si="13"/>
        <v>67.358975255200463</v>
      </c>
      <c r="O47" s="140">
        <f t="shared" si="14"/>
        <v>31.77294504091898</v>
      </c>
    </row>
    <row r="48" spans="2:15" x14ac:dyDescent="0.3">
      <c r="B48" s="84" t="s">
        <v>490</v>
      </c>
      <c r="C48" s="84" t="s">
        <v>475</v>
      </c>
      <c r="D48" s="132">
        <v>30</v>
      </c>
      <c r="E48" s="149">
        <v>5.5</v>
      </c>
      <c r="F48" s="152">
        <v>59550</v>
      </c>
      <c r="G48" s="84">
        <v>75</v>
      </c>
      <c r="H48" s="84">
        <v>20</v>
      </c>
      <c r="I48" s="137">
        <f t="shared" si="8"/>
        <v>11876.963230015383</v>
      </c>
      <c r="J48" s="138">
        <f t="shared" si="9"/>
        <v>5545.7271252779883</v>
      </c>
      <c r="K48" s="151">
        <f t="shared" si="10"/>
        <v>1191</v>
      </c>
      <c r="L48" s="140">
        <f t="shared" si="11"/>
        <v>6736.7271252779883</v>
      </c>
      <c r="M48" s="137">
        <f t="shared" si="12"/>
        <v>3177.6858228050341</v>
      </c>
      <c r="N48" s="138">
        <f t="shared" si="13"/>
        <v>89.823028337039844</v>
      </c>
      <c r="O48" s="140">
        <f t="shared" si="14"/>
        <v>42.36914430406712</v>
      </c>
    </row>
    <row r="49" spans="2:15" x14ac:dyDescent="0.3">
      <c r="B49" s="84" t="s">
        <v>491</v>
      </c>
      <c r="C49" s="84" t="s">
        <v>475</v>
      </c>
      <c r="D49" s="132">
        <v>30</v>
      </c>
      <c r="E49" s="149">
        <v>5.5</v>
      </c>
      <c r="F49" s="152">
        <v>46210</v>
      </c>
      <c r="G49" s="84">
        <v>75</v>
      </c>
      <c r="H49" s="84">
        <v>20</v>
      </c>
      <c r="I49" s="137">
        <f t="shared" si="8"/>
        <v>9216.3639103108453</v>
      </c>
      <c r="J49" s="138">
        <f t="shared" si="9"/>
        <v>4303.4097474239434</v>
      </c>
      <c r="K49" s="151">
        <f t="shared" si="10"/>
        <v>924.2</v>
      </c>
      <c r="L49" s="140">
        <f t="shared" si="11"/>
        <v>5227.6097474239432</v>
      </c>
      <c r="M49" s="137">
        <f t="shared" si="12"/>
        <v>2465.8415091825459</v>
      </c>
      <c r="N49" s="138">
        <f t="shared" si="13"/>
        <v>69.701463298985914</v>
      </c>
      <c r="O49" s="140">
        <f t="shared" si="14"/>
        <v>32.877886789100614</v>
      </c>
    </row>
    <row r="50" spans="2:15" x14ac:dyDescent="0.3">
      <c r="B50" s="84" t="s">
        <v>492</v>
      </c>
      <c r="C50" s="84" t="s">
        <v>475</v>
      </c>
      <c r="D50" s="132">
        <v>30</v>
      </c>
      <c r="E50" s="149">
        <v>5.5</v>
      </c>
      <c r="F50" s="152">
        <v>61013</v>
      </c>
      <c r="G50" s="84">
        <v>75</v>
      </c>
      <c r="H50" s="84">
        <v>20</v>
      </c>
      <c r="I50" s="137">
        <f t="shared" si="8"/>
        <v>12168.751596186878</v>
      </c>
      <c r="J50" s="138">
        <f t="shared" si="9"/>
        <v>5681.9722769871687</v>
      </c>
      <c r="K50" s="151">
        <f t="shared" si="10"/>
        <v>1220.26</v>
      </c>
      <c r="L50" s="140">
        <f t="shared" si="11"/>
        <v>6902.2322769871689</v>
      </c>
      <c r="M50" s="137">
        <f t="shared" si="12"/>
        <v>3255.7539060756262</v>
      </c>
      <c r="N50" s="138">
        <f t="shared" si="13"/>
        <v>92.029763693162252</v>
      </c>
      <c r="O50" s="140">
        <f t="shared" si="14"/>
        <v>43.410052081008352</v>
      </c>
    </row>
    <row r="51" spans="2:15" x14ac:dyDescent="0.3">
      <c r="B51" s="84" t="s">
        <v>493</v>
      </c>
      <c r="C51" s="84" t="s">
        <v>494</v>
      </c>
      <c r="D51" s="132">
        <v>18</v>
      </c>
      <c r="E51" s="149">
        <v>7</v>
      </c>
      <c r="F51" s="152">
        <v>35396</v>
      </c>
      <c r="G51" s="84">
        <v>100</v>
      </c>
      <c r="H51" s="84">
        <v>20</v>
      </c>
      <c r="I51" s="137">
        <f t="shared" si="8"/>
        <v>5636.9160059343749</v>
      </c>
      <c r="J51" s="138">
        <f t="shared" si="9"/>
        <v>3323.6653996582072</v>
      </c>
      <c r="K51" s="151">
        <f t="shared" si="10"/>
        <v>707.92</v>
      </c>
      <c r="L51" s="140">
        <f t="shared" si="11"/>
        <v>4031.5853996582073</v>
      </c>
      <c r="M51" s="137">
        <f t="shared" si="12"/>
        <v>1261.0431542623687</v>
      </c>
      <c r="N51" s="138">
        <f t="shared" si="13"/>
        <v>40.315853996582071</v>
      </c>
      <c r="O51" s="140">
        <f t="shared" si="14"/>
        <v>12.610431542623687</v>
      </c>
    </row>
    <row r="52" spans="2:15" x14ac:dyDescent="0.3">
      <c r="B52" s="84" t="s">
        <v>495</v>
      </c>
      <c r="C52" s="84" t="s">
        <v>494</v>
      </c>
      <c r="D52" s="132">
        <v>28</v>
      </c>
      <c r="E52" s="149">
        <v>7</v>
      </c>
      <c r="F52" s="152">
        <v>64639</v>
      </c>
      <c r="G52" s="84">
        <v>100</v>
      </c>
      <c r="H52" s="84">
        <v>20</v>
      </c>
      <c r="I52" s="137">
        <f t="shared" si="8"/>
        <v>10293.948856017405</v>
      </c>
      <c r="J52" s="138">
        <f t="shared" si="9"/>
        <v>6069.5674022066569</v>
      </c>
      <c r="K52" s="151">
        <f t="shared" si="10"/>
        <v>1292.78</v>
      </c>
      <c r="L52" s="140">
        <f t="shared" si="11"/>
        <v>7362.3474022066566</v>
      </c>
      <c r="M52" s="137">
        <f t="shared" si="12"/>
        <v>2302.8751398001264</v>
      </c>
      <c r="N52" s="138">
        <f t="shared" si="13"/>
        <v>73.62347402206656</v>
      </c>
      <c r="O52" s="140">
        <f t="shared" si="14"/>
        <v>23.028751398001262</v>
      </c>
    </row>
    <row r="53" spans="2:15" x14ac:dyDescent="0.3">
      <c r="B53" s="84" t="s">
        <v>496</v>
      </c>
      <c r="C53" s="84" t="s">
        <v>494</v>
      </c>
      <c r="D53" s="132">
        <v>33</v>
      </c>
      <c r="E53" s="149">
        <v>7</v>
      </c>
      <c r="F53" s="152">
        <v>130218</v>
      </c>
      <c r="G53" s="84">
        <v>100</v>
      </c>
      <c r="H53" s="84">
        <v>20</v>
      </c>
      <c r="I53" s="137">
        <f t="shared" si="8"/>
        <v>20737.595447529733</v>
      </c>
      <c r="J53" s="138">
        <f t="shared" si="9"/>
        <v>12227.400299827452</v>
      </c>
      <c r="K53" s="151">
        <f t="shared" si="10"/>
        <v>2604.36</v>
      </c>
      <c r="L53" s="140">
        <f t="shared" si="11"/>
        <v>14831.760299827452</v>
      </c>
      <c r="M53" s="137">
        <f t="shared" si="12"/>
        <v>4639.2393903756683</v>
      </c>
      <c r="N53" s="138">
        <f t="shared" si="13"/>
        <v>148.31760299827454</v>
      </c>
      <c r="O53" s="140">
        <f t="shared" si="14"/>
        <v>46.392393903756684</v>
      </c>
    </row>
    <row r="54" spans="2:15" x14ac:dyDescent="0.3">
      <c r="B54" s="84" t="s">
        <v>497</v>
      </c>
      <c r="C54" s="84" t="s">
        <v>498</v>
      </c>
      <c r="D54" s="132"/>
      <c r="E54" s="149" t="s">
        <v>499</v>
      </c>
      <c r="F54" s="150">
        <v>71443</v>
      </c>
      <c r="G54" s="84">
        <v>100</v>
      </c>
      <c r="H54" s="84">
        <v>20</v>
      </c>
      <c r="I54" s="137">
        <f t="shared" si="8"/>
        <v>15866.181811563711</v>
      </c>
      <c r="J54" s="138">
        <f t="shared" si="9"/>
        <v>6622.2174639434234</v>
      </c>
      <c r="K54" s="151">
        <f t="shared" si="10"/>
        <v>1428.8600000000001</v>
      </c>
      <c r="L54" s="140">
        <f t="shared" si="11"/>
        <v>8051.0774639434239</v>
      </c>
      <c r="M54" s="137">
        <f t="shared" si="12"/>
        <v>1671.1763561294163</v>
      </c>
      <c r="N54" s="138">
        <f t="shared" si="13"/>
        <v>80.510774639434246</v>
      </c>
      <c r="O54" s="140">
        <f t="shared" si="14"/>
        <v>16.711763561294163</v>
      </c>
    </row>
    <row r="55" spans="2:15" x14ac:dyDescent="0.3">
      <c r="B55" s="84" t="s">
        <v>500</v>
      </c>
      <c r="C55" s="84" t="s">
        <v>498</v>
      </c>
      <c r="D55" s="132"/>
      <c r="E55" s="149"/>
      <c r="F55" s="150">
        <v>92481</v>
      </c>
      <c r="G55" s="84">
        <v>100</v>
      </c>
      <c r="H55" s="84">
        <v>20</v>
      </c>
      <c r="I55" s="137">
        <f t="shared" si="8"/>
        <v>20538.336297680999</v>
      </c>
      <c r="J55" s="138">
        <f t="shared" si="9"/>
        <v>8572.2785057031724</v>
      </c>
      <c r="K55" s="151">
        <f t="shared" si="10"/>
        <v>1849.6200000000001</v>
      </c>
      <c r="L55" s="140">
        <f t="shared" si="11"/>
        <v>10421.898505703173</v>
      </c>
      <c r="M55" s="137">
        <f t="shared" si="12"/>
        <v>2163.2918633204727</v>
      </c>
      <c r="N55" s="138">
        <f t="shared" si="13"/>
        <v>104.21898505703173</v>
      </c>
      <c r="O55" s="140">
        <f t="shared" si="14"/>
        <v>21.632918633204728</v>
      </c>
    </row>
    <row r="56" spans="2:15" x14ac:dyDescent="0.3">
      <c r="B56" s="84" t="s">
        <v>501</v>
      </c>
      <c r="C56" s="84" t="s">
        <v>502</v>
      </c>
      <c r="D56" s="132">
        <v>10</v>
      </c>
      <c r="E56" s="149">
        <v>5</v>
      </c>
      <c r="F56" s="150">
        <v>42417</v>
      </c>
      <c r="G56" s="84">
        <v>75</v>
      </c>
      <c r="H56" s="84">
        <v>20</v>
      </c>
      <c r="I56" s="137">
        <f t="shared" si="8"/>
        <v>12103.318379038439</v>
      </c>
      <c r="J56" s="138">
        <f t="shared" si="9"/>
        <v>3880.1757463550239</v>
      </c>
      <c r="K56" s="151">
        <f t="shared" si="10"/>
        <v>848.34</v>
      </c>
      <c r="L56" s="140">
        <f t="shared" si="11"/>
        <v>4728.515746355024</v>
      </c>
      <c r="M56" s="137">
        <f t="shared" si="12"/>
        <v>1590.1993656333393</v>
      </c>
      <c r="N56" s="138">
        <f t="shared" si="13"/>
        <v>63.046876618066989</v>
      </c>
      <c r="O56" s="140">
        <f t="shared" si="14"/>
        <v>21.202658208444525</v>
      </c>
    </row>
    <row r="57" spans="2:15" x14ac:dyDescent="0.3">
      <c r="B57" s="84" t="s">
        <v>503</v>
      </c>
      <c r="C57" s="84" t="s">
        <v>502</v>
      </c>
      <c r="D57" s="132">
        <v>15</v>
      </c>
      <c r="E57" s="149">
        <v>5</v>
      </c>
      <c r="F57" s="150">
        <v>70246</v>
      </c>
      <c r="G57" s="84">
        <v>75</v>
      </c>
      <c r="H57" s="84">
        <v>20</v>
      </c>
      <c r="I57" s="137">
        <f t="shared" si="8"/>
        <v>20044.079092202046</v>
      </c>
      <c r="J57" s="138">
        <f t="shared" si="9"/>
        <v>6425.8864483215457</v>
      </c>
      <c r="K57" s="151">
        <f t="shared" si="10"/>
        <v>1404.92</v>
      </c>
      <c r="L57" s="140">
        <f t="shared" si="11"/>
        <v>7830.8064483215458</v>
      </c>
      <c r="M57" s="137">
        <f t="shared" si="12"/>
        <v>2633.499413873672</v>
      </c>
      <c r="N57" s="138">
        <f t="shared" si="13"/>
        <v>104.41075264428727</v>
      </c>
      <c r="O57" s="140">
        <f t="shared" si="14"/>
        <v>35.113325518315627</v>
      </c>
    </row>
    <row r="58" spans="2:15" x14ac:dyDescent="0.3">
      <c r="B58" s="84" t="s">
        <v>504</v>
      </c>
      <c r="C58" s="84" t="s">
        <v>502</v>
      </c>
      <c r="D58" s="132">
        <v>20</v>
      </c>
      <c r="E58" s="149">
        <v>5</v>
      </c>
      <c r="F58" s="150">
        <v>103565</v>
      </c>
      <c r="G58" s="84">
        <v>75</v>
      </c>
      <c r="H58" s="84">
        <v>20</v>
      </c>
      <c r="I58" s="137">
        <f t="shared" si="8"/>
        <v>29551.363083789896</v>
      </c>
      <c r="J58" s="138">
        <f t="shared" si="9"/>
        <v>9473.8053415200993</v>
      </c>
      <c r="K58" s="151">
        <f t="shared" si="10"/>
        <v>2071.3000000000002</v>
      </c>
      <c r="L58" s="140">
        <f t="shared" si="11"/>
        <v>11545.105341520099</v>
      </c>
      <c r="M58" s="137">
        <f t="shared" si="12"/>
        <v>3882.6177547166649</v>
      </c>
      <c r="N58" s="138">
        <f t="shared" si="13"/>
        <v>153.93473788693464</v>
      </c>
      <c r="O58" s="140">
        <f t="shared" si="14"/>
        <v>51.768236729555532</v>
      </c>
    </row>
    <row r="59" spans="2:15" x14ac:dyDescent="0.3">
      <c r="B59" s="84" t="s">
        <v>639</v>
      </c>
      <c r="C59" s="84" t="s">
        <v>498</v>
      </c>
      <c r="D59" s="132"/>
      <c r="E59" s="149"/>
      <c r="F59" s="150">
        <v>12500</v>
      </c>
      <c r="G59" s="84">
        <v>200</v>
      </c>
      <c r="H59" s="84">
        <v>20</v>
      </c>
      <c r="I59" s="137">
        <f t="shared" si="8"/>
        <v>2617.316272761941</v>
      </c>
      <c r="J59" s="138">
        <f t="shared" si="9"/>
        <v>1161.7032367949173</v>
      </c>
      <c r="K59" s="151">
        <f t="shared" si="10"/>
        <v>250</v>
      </c>
      <c r="L59" s="140">
        <f t="shared" si="11"/>
        <v>1411.7032367949173</v>
      </c>
      <c r="M59" s="137">
        <f t="shared" si="12"/>
        <v>719.965369092439</v>
      </c>
      <c r="N59" s="138">
        <f t="shared" si="13"/>
        <v>7.0585161839745867</v>
      </c>
      <c r="O59" s="140">
        <f t="shared" si="14"/>
        <v>3.5998268454621951</v>
      </c>
    </row>
    <row r="60" spans="2:15" x14ac:dyDescent="0.3">
      <c r="B60" s="84" t="s">
        <v>640</v>
      </c>
      <c r="C60" s="84" t="s">
        <v>498</v>
      </c>
      <c r="D60" s="132"/>
      <c r="E60" s="149"/>
      <c r="F60" s="150">
        <v>16500</v>
      </c>
      <c r="G60" s="84">
        <v>200</v>
      </c>
      <c r="H60" s="84">
        <v>20</v>
      </c>
      <c r="I60" s="137">
        <f t="shared" si="8"/>
        <v>3454.8574800457618</v>
      </c>
      <c r="J60" s="138">
        <f t="shared" si="9"/>
        <v>1533.4482725692915</v>
      </c>
      <c r="K60" s="151">
        <f t="shared" si="10"/>
        <v>330</v>
      </c>
      <c r="L60" s="140">
        <f t="shared" si="11"/>
        <v>1863.4482725692915</v>
      </c>
      <c r="M60" s="137">
        <f t="shared" si="12"/>
        <v>950.35428720201958</v>
      </c>
      <c r="N60" s="138">
        <f t="shared" si="13"/>
        <v>9.3172413628464579</v>
      </c>
      <c r="O60" s="140">
        <f t="shared" si="14"/>
        <v>4.751771436010098</v>
      </c>
    </row>
    <row r="61" spans="2:15" x14ac:dyDescent="0.3">
      <c r="B61" s="84" t="s">
        <v>505</v>
      </c>
      <c r="C61" s="84" t="s">
        <v>506</v>
      </c>
      <c r="D61" s="132">
        <v>15</v>
      </c>
      <c r="E61" s="149">
        <v>3</v>
      </c>
      <c r="F61" s="150">
        <v>218228</v>
      </c>
      <c r="G61" s="84">
        <v>100</v>
      </c>
      <c r="H61" s="84">
        <v>20</v>
      </c>
      <c r="I61" s="137">
        <f t="shared" si="8"/>
        <v>21667.08930214409</v>
      </c>
      <c r="J61" s="138">
        <f t="shared" si="9"/>
        <v>20742.922963117238</v>
      </c>
      <c r="K61" s="151">
        <f t="shared" si="10"/>
        <v>4364.5600000000004</v>
      </c>
      <c r="L61" s="140">
        <f t="shared" si="11"/>
        <v>25107.48296311724</v>
      </c>
      <c r="M61" s="137">
        <f t="shared" si="12"/>
        <v>6448.0843928504246</v>
      </c>
      <c r="N61" s="138">
        <f t="shared" si="13"/>
        <v>251.07482963117241</v>
      </c>
      <c r="O61" s="140">
        <f t="shared" si="14"/>
        <v>64.480843928504243</v>
      </c>
    </row>
    <row r="62" spans="2:15" x14ac:dyDescent="0.3">
      <c r="B62" s="84" t="s">
        <v>507</v>
      </c>
      <c r="C62" s="84" t="s">
        <v>506</v>
      </c>
      <c r="D62" s="132">
        <v>20</v>
      </c>
      <c r="E62" s="149">
        <v>3</v>
      </c>
      <c r="F62" s="150">
        <v>301022</v>
      </c>
      <c r="G62" s="84">
        <v>100</v>
      </c>
      <c r="H62" s="84">
        <v>20</v>
      </c>
      <c r="I62" s="137">
        <f t="shared" si="8"/>
        <v>29887.413878649935</v>
      </c>
      <c r="J62" s="138">
        <f t="shared" si="9"/>
        <v>28612.626043420081</v>
      </c>
      <c r="K62" s="151">
        <f t="shared" si="10"/>
        <v>6020.4400000000005</v>
      </c>
      <c r="L62" s="140">
        <f t="shared" si="11"/>
        <v>34633.066043420084</v>
      </c>
      <c r="M62" s="137">
        <f t="shared" si="12"/>
        <v>8894.4372862539203</v>
      </c>
      <c r="N62" s="138">
        <f t="shared" si="13"/>
        <v>346.33066043420081</v>
      </c>
      <c r="O62" s="140">
        <f t="shared" si="14"/>
        <v>88.944372862539197</v>
      </c>
    </row>
    <row r="63" spans="2:15" x14ac:dyDescent="0.3">
      <c r="B63" s="84" t="s">
        <v>508</v>
      </c>
      <c r="C63" s="84" t="s">
        <v>506</v>
      </c>
      <c r="D63" s="132">
        <v>15</v>
      </c>
      <c r="E63" s="149">
        <v>3</v>
      </c>
      <c r="F63" s="150">
        <v>48938</v>
      </c>
      <c r="G63" s="84">
        <v>100</v>
      </c>
      <c r="H63" s="84">
        <v>20</v>
      </c>
      <c r="I63" s="137">
        <f t="shared" si="8"/>
        <v>4858.881611288778</v>
      </c>
      <c r="J63" s="138">
        <f t="shared" si="9"/>
        <v>4651.6357386267182</v>
      </c>
      <c r="K63" s="151">
        <f t="shared" si="10"/>
        <v>978.76</v>
      </c>
      <c r="L63" s="140">
        <f t="shared" si="11"/>
        <v>5630.3957386267184</v>
      </c>
      <c r="M63" s="137">
        <f t="shared" si="12"/>
        <v>1445.9938872065638</v>
      </c>
      <c r="N63" s="138">
        <f t="shared" si="13"/>
        <v>56.303957386267186</v>
      </c>
      <c r="O63" s="140">
        <f t="shared" si="14"/>
        <v>14.459938872065639</v>
      </c>
    </row>
    <row r="64" spans="2:15" x14ac:dyDescent="0.3">
      <c r="B64" s="84" t="s">
        <v>509</v>
      </c>
      <c r="C64" s="84" t="s">
        <v>506</v>
      </c>
      <c r="D64" s="132">
        <v>20</v>
      </c>
      <c r="E64" s="149">
        <v>3</v>
      </c>
      <c r="F64" s="150">
        <v>68841</v>
      </c>
      <c r="G64" s="84">
        <v>100</v>
      </c>
      <c r="H64" s="84">
        <v>20</v>
      </c>
      <c r="I64" s="137">
        <f t="shared" si="8"/>
        <v>6834.98036296397</v>
      </c>
      <c r="J64" s="138">
        <f t="shared" si="9"/>
        <v>6543.4479521599142</v>
      </c>
      <c r="K64" s="151">
        <f t="shared" si="10"/>
        <v>1376.82</v>
      </c>
      <c r="L64" s="140">
        <f t="shared" si="11"/>
        <v>7920.2679521599139</v>
      </c>
      <c r="M64" s="137">
        <f t="shared" si="12"/>
        <v>2034.0771014178567</v>
      </c>
      <c r="N64" s="138">
        <f t="shared" si="13"/>
        <v>79.202679521599137</v>
      </c>
      <c r="O64" s="140">
        <f t="shared" si="14"/>
        <v>20.340771014178568</v>
      </c>
    </row>
    <row r="65" spans="2:15" x14ac:dyDescent="0.3">
      <c r="B65" s="84" t="s">
        <v>510</v>
      </c>
      <c r="C65" s="84" t="s">
        <v>506</v>
      </c>
      <c r="D65" s="132">
        <v>20</v>
      </c>
      <c r="E65" s="149">
        <v>3</v>
      </c>
      <c r="F65" s="150">
        <v>25082</v>
      </c>
      <c r="G65" s="84">
        <v>100</v>
      </c>
      <c r="H65" s="84">
        <v>20</v>
      </c>
      <c r="I65" s="137">
        <f t="shared" si="8"/>
        <v>2490.30341604367</v>
      </c>
      <c r="J65" s="138">
        <f t="shared" si="9"/>
        <v>2384.0845068502053</v>
      </c>
      <c r="K65" s="151">
        <f t="shared" si="10"/>
        <v>501.64</v>
      </c>
      <c r="L65" s="140">
        <f t="shared" si="11"/>
        <v>2885.7245068502052</v>
      </c>
      <c r="M65" s="137">
        <f t="shared" si="12"/>
        <v>741.10954021241241</v>
      </c>
      <c r="N65" s="138">
        <f t="shared" si="13"/>
        <v>28.857245068502053</v>
      </c>
      <c r="O65" s="140">
        <f t="shared" si="14"/>
        <v>7.4110954021241238</v>
      </c>
    </row>
    <row r="66" spans="2:15" x14ac:dyDescent="0.3">
      <c r="B66" s="84" t="s">
        <v>511</v>
      </c>
      <c r="C66" s="84" t="s">
        <v>512</v>
      </c>
      <c r="D66" s="132">
        <v>30</v>
      </c>
      <c r="E66" s="149">
        <v>5</v>
      </c>
      <c r="F66" s="150">
        <v>192514</v>
      </c>
      <c r="G66" s="84">
        <v>75</v>
      </c>
      <c r="H66" s="84">
        <v>20</v>
      </c>
      <c r="I66" s="137">
        <f t="shared" si="8"/>
        <v>54932.178947643777</v>
      </c>
      <c r="J66" s="138">
        <f t="shared" si="9"/>
        <v>17610.584285399513</v>
      </c>
      <c r="K66" s="151">
        <f t="shared" si="10"/>
        <v>3850.28</v>
      </c>
      <c r="L66" s="140">
        <f t="shared" si="11"/>
        <v>21460.864285399512</v>
      </c>
      <c r="M66" s="137">
        <f t="shared" si="12"/>
        <v>7217.2864812583794</v>
      </c>
      <c r="N66" s="138">
        <f t="shared" si="13"/>
        <v>286.14485713866014</v>
      </c>
      <c r="O66" s="140">
        <f t="shared" si="14"/>
        <v>96.23048641677839</v>
      </c>
    </row>
    <row r="67" spans="2:15" x14ac:dyDescent="0.3">
      <c r="B67" s="84" t="s">
        <v>513</v>
      </c>
      <c r="C67" s="84" t="s">
        <v>512</v>
      </c>
      <c r="D67" s="132">
        <v>15</v>
      </c>
      <c r="E67" s="149">
        <v>5</v>
      </c>
      <c r="F67" s="150">
        <v>57670</v>
      </c>
      <c r="G67" s="84">
        <v>75</v>
      </c>
      <c r="H67" s="84">
        <v>20</v>
      </c>
      <c r="I67" s="137">
        <f t="shared" si="8"/>
        <v>16455.6279538663</v>
      </c>
      <c r="J67" s="138">
        <f t="shared" si="9"/>
        <v>5275.4729304829261</v>
      </c>
      <c r="K67" s="151">
        <f t="shared" si="10"/>
        <v>1153.4000000000001</v>
      </c>
      <c r="L67" s="140">
        <f t="shared" si="11"/>
        <v>6428.8729304829267</v>
      </c>
      <c r="M67" s="137">
        <f t="shared" si="12"/>
        <v>2162.0293140975236</v>
      </c>
      <c r="N67" s="138">
        <f t="shared" si="13"/>
        <v>85.718305739772362</v>
      </c>
      <c r="O67" s="140">
        <f t="shared" si="14"/>
        <v>28.827057521300315</v>
      </c>
    </row>
    <row r="68" spans="2:15" x14ac:dyDescent="0.3">
      <c r="B68" s="84" t="s">
        <v>514</v>
      </c>
      <c r="C68" s="84" t="s">
        <v>512</v>
      </c>
      <c r="D68" s="132">
        <v>20</v>
      </c>
      <c r="E68" s="149">
        <v>5</v>
      </c>
      <c r="F68" s="150">
        <v>56085</v>
      </c>
      <c r="G68" s="84">
        <v>75</v>
      </c>
      <c r="H68" s="84">
        <v>20</v>
      </c>
      <c r="I68" s="137">
        <f t="shared" si="8"/>
        <v>16003.362125760212</v>
      </c>
      <c r="J68" s="138">
        <f t="shared" si="9"/>
        <v>5130.4820410288685</v>
      </c>
      <c r="K68" s="151">
        <f t="shared" si="10"/>
        <v>1121.7</v>
      </c>
      <c r="L68" s="140">
        <f t="shared" si="11"/>
        <v>6252.1820410288683</v>
      </c>
      <c r="M68" s="137">
        <f t="shared" si="12"/>
        <v>2102.608185905317</v>
      </c>
      <c r="N68" s="138">
        <f t="shared" si="13"/>
        <v>83.362427213718249</v>
      </c>
      <c r="O68" s="140">
        <f t="shared" si="14"/>
        <v>28.034775812070894</v>
      </c>
    </row>
    <row r="69" spans="2:15" x14ac:dyDescent="0.3">
      <c r="B69" s="84" t="s">
        <v>515</v>
      </c>
      <c r="C69" s="84" t="s">
        <v>512</v>
      </c>
      <c r="D69" s="132">
        <v>20</v>
      </c>
      <c r="E69" s="149">
        <v>5</v>
      </c>
      <c r="F69" s="150">
        <v>129900</v>
      </c>
      <c r="G69" s="84">
        <v>75</v>
      </c>
      <c r="H69" s="84">
        <v>20</v>
      </c>
      <c r="I69" s="137">
        <f t="shared" si="8"/>
        <v>37065.824019546249</v>
      </c>
      <c r="J69" s="138">
        <f t="shared" si="9"/>
        <v>11882.849552102167</v>
      </c>
      <c r="K69" s="151">
        <f t="shared" si="10"/>
        <v>2598</v>
      </c>
      <c r="L69" s="140">
        <f t="shared" si="11"/>
        <v>14480.849552102167</v>
      </c>
      <c r="M69" s="137">
        <f t="shared" si="12"/>
        <v>4869.9082348061092</v>
      </c>
      <c r="N69" s="138">
        <f t="shared" si="13"/>
        <v>193.07799402802888</v>
      </c>
      <c r="O69" s="140">
        <f t="shared" si="14"/>
        <v>64.932109797414796</v>
      </c>
    </row>
    <row r="70" spans="2:15" x14ac:dyDescent="0.3">
      <c r="B70" s="84" t="s">
        <v>516</v>
      </c>
      <c r="C70" s="84" t="s">
        <v>512</v>
      </c>
      <c r="D70" s="132">
        <v>30</v>
      </c>
      <c r="E70" s="149">
        <v>5</v>
      </c>
      <c r="F70" s="150">
        <v>165591</v>
      </c>
      <c r="G70" s="84">
        <v>75</v>
      </c>
      <c r="H70" s="84">
        <v>20</v>
      </c>
      <c r="I70" s="137">
        <f t="shared" si="8"/>
        <v>47249.93737660264</v>
      </c>
      <c r="J70" s="138">
        <f t="shared" si="9"/>
        <v>15147.751656521554</v>
      </c>
      <c r="K70" s="151">
        <f t="shared" si="10"/>
        <v>3311.82</v>
      </c>
      <c r="L70" s="140">
        <f t="shared" si="11"/>
        <v>18459.571656521555</v>
      </c>
      <c r="M70" s="137">
        <f t="shared" si="12"/>
        <v>6207.9520747481019</v>
      </c>
      <c r="N70" s="138">
        <f t="shared" si="13"/>
        <v>246.12762208695406</v>
      </c>
      <c r="O70" s="140">
        <f t="shared" si="14"/>
        <v>82.772694329974698</v>
      </c>
    </row>
    <row r="71" spans="2:15" x14ac:dyDescent="0.3">
      <c r="B71" s="84" t="s">
        <v>517</v>
      </c>
      <c r="C71" s="84" t="s">
        <v>518</v>
      </c>
      <c r="D71" s="132">
        <v>7.5</v>
      </c>
      <c r="E71" s="149">
        <v>4.5</v>
      </c>
      <c r="F71" s="150">
        <v>24362</v>
      </c>
      <c r="G71" s="84">
        <v>100</v>
      </c>
      <c r="H71" s="84">
        <v>20</v>
      </c>
      <c r="I71" s="137">
        <f t="shared" si="8"/>
        <v>6334.5949092090641</v>
      </c>
      <c r="J71" s="138">
        <f t="shared" si="9"/>
        <v>2240.4126793212108</v>
      </c>
      <c r="K71" s="151">
        <f t="shared" si="10"/>
        <v>487.24</v>
      </c>
      <c r="L71" s="140">
        <f t="shared" si="11"/>
        <v>2727.6526793212106</v>
      </c>
      <c r="M71" s="137">
        <f t="shared" si="12"/>
        <v>1230.0844637351702</v>
      </c>
      <c r="N71" s="138">
        <f t="shared" si="13"/>
        <v>27.276526793212106</v>
      </c>
      <c r="O71" s="140">
        <f t="shared" si="14"/>
        <v>12.300844637351702</v>
      </c>
    </row>
    <row r="72" spans="2:15" x14ac:dyDescent="0.3">
      <c r="B72" s="84" t="s">
        <v>519</v>
      </c>
      <c r="C72" s="84" t="s">
        <v>518</v>
      </c>
      <c r="D72" s="132">
        <v>9</v>
      </c>
      <c r="E72" s="149">
        <v>4.5</v>
      </c>
      <c r="F72" s="150">
        <v>29862</v>
      </c>
      <c r="G72" s="84">
        <v>100</v>
      </c>
      <c r="H72" s="84">
        <v>20</v>
      </c>
      <c r="I72" s="137">
        <f t="shared" si="8"/>
        <v>7764.7021253920484</v>
      </c>
      <c r="J72" s="138">
        <f t="shared" si="9"/>
        <v>2746.2114534886305</v>
      </c>
      <c r="K72" s="151">
        <f t="shared" si="10"/>
        <v>597.24</v>
      </c>
      <c r="L72" s="140">
        <f t="shared" si="11"/>
        <v>3343.4514534886302</v>
      </c>
      <c r="M72" s="137">
        <f t="shared" si="12"/>
        <v>1507.7900934266338</v>
      </c>
      <c r="N72" s="138">
        <f t="shared" si="13"/>
        <v>33.434514534886304</v>
      </c>
      <c r="O72" s="140">
        <f t="shared" si="14"/>
        <v>15.077900934266339</v>
      </c>
    </row>
    <row r="73" spans="2:15" x14ac:dyDescent="0.3">
      <c r="B73" s="84" t="s">
        <v>520</v>
      </c>
      <c r="C73" s="84" t="s">
        <v>518</v>
      </c>
      <c r="D73" s="132">
        <v>10.5</v>
      </c>
      <c r="E73" s="149">
        <v>4.5</v>
      </c>
      <c r="F73" s="150">
        <v>35812</v>
      </c>
      <c r="G73" s="84">
        <v>100</v>
      </c>
      <c r="H73" s="84">
        <v>20</v>
      </c>
      <c r="I73" s="137">
        <f t="shared" si="8"/>
        <v>9311.8181138081854</v>
      </c>
      <c r="J73" s="138">
        <f t="shared" si="9"/>
        <v>3293.3937637242921</v>
      </c>
      <c r="K73" s="151">
        <f t="shared" si="10"/>
        <v>716.24</v>
      </c>
      <c r="L73" s="140">
        <f t="shared" si="11"/>
        <v>4009.6337637242923</v>
      </c>
      <c r="M73" s="137">
        <f t="shared" si="12"/>
        <v>1808.217092820126</v>
      </c>
      <c r="N73" s="138">
        <f t="shared" si="13"/>
        <v>40.096337637242925</v>
      </c>
      <c r="O73" s="140">
        <f t="shared" si="14"/>
        <v>18.082170928201261</v>
      </c>
    </row>
    <row r="74" spans="2:15" x14ac:dyDescent="0.3">
      <c r="B74" s="84" t="s">
        <v>521</v>
      </c>
      <c r="C74" s="84" t="s">
        <v>518</v>
      </c>
      <c r="D74" s="132">
        <v>12</v>
      </c>
      <c r="E74" s="149">
        <v>4.5</v>
      </c>
      <c r="F74" s="150">
        <v>49579</v>
      </c>
      <c r="G74" s="84">
        <v>100</v>
      </c>
      <c r="H74" s="84">
        <v>20</v>
      </c>
      <c r="I74" s="137">
        <f t="shared" si="8"/>
        <v>12891.506485661121</v>
      </c>
      <c r="J74" s="138">
        <f t="shared" si="9"/>
        <v>4559.454077172084</v>
      </c>
      <c r="K74" s="151">
        <f t="shared" si="10"/>
        <v>991.58</v>
      </c>
      <c r="L74" s="140">
        <f t="shared" si="11"/>
        <v>5551.0340771720839</v>
      </c>
      <c r="M74" s="137">
        <f t="shared" si="12"/>
        <v>2503.3395299041954</v>
      </c>
      <c r="N74" s="138">
        <f t="shared" si="13"/>
        <v>55.510340771720841</v>
      </c>
      <c r="O74" s="140">
        <f t="shared" si="14"/>
        <v>25.033395299041953</v>
      </c>
    </row>
    <row r="75" spans="2:15" x14ac:dyDescent="0.3">
      <c r="B75" s="84" t="s">
        <v>522</v>
      </c>
      <c r="C75" s="84" t="s">
        <v>523</v>
      </c>
      <c r="D75" s="132">
        <v>15</v>
      </c>
      <c r="E75" s="149">
        <v>5</v>
      </c>
      <c r="F75" s="150">
        <v>39255</v>
      </c>
      <c r="G75" s="84">
        <v>100</v>
      </c>
      <c r="H75" s="84">
        <v>20</v>
      </c>
      <c r="I75" s="137">
        <f t="shared" si="8"/>
        <v>10207.065231138733</v>
      </c>
      <c r="J75" s="138">
        <f t="shared" si="9"/>
        <v>3610.0237963530967</v>
      </c>
      <c r="K75" s="151">
        <f t="shared" si="10"/>
        <v>785.1</v>
      </c>
      <c r="L75" s="140">
        <f t="shared" si="11"/>
        <v>4395.1237963530966</v>
      </c>
      <c r="M75" s="137">
        <f t="shared" si="12"/>
        <v>1450.3239250469192</v>
      </c>
      <c r="N75" s="138">
        <f t="shared" si="13"/>
        <v>43.951237963530964</v>
      </c>
      <c r="O75" s="140">
        <f t="shared" si="14"/>
        <v>14.503239250469191</v>
      </c>
    </row>
    <row r="76" spans="2:15" x14ac:dyDescent="0.3">
      <c r="B76" s="84" t="s">
        <v>524</v>
      </c>
      <c r="C76" s="84" t="s">
        <v>523</v>
      </c>
      <c r="D76" s="132">
        <v>20</v>
      </c>
      <c r="E76" s="149">
        <v>5</v>
      </c>
      <c r="F76" s="150">
        <v>62082</v>
      </c>
      <c r="G76" s="84">
        <v>100</v>
      </c>
      <c r="H76" s="84">
        <v>20</v>
      </c>
      <c r="I76" s="137">
        <f t="shared" si="8"/>
        <v>16142.530217285819</v>
      </c>
      <c r="J76" s="138">
        <f t="shared" si="9"/>
        <v>5709.272635974854</v>
      </c>
      <c r="K76" s="151">
        <f t="shared" si="10"/>
        <v>1241.6400000000001</v>
      </c>
      <c r="L76" s="140">
        <f t="shared" si="11"/>
        <v>6950.9126359748543</v>
      </c>
      <c r="M76" s="137">
        <f t="shared" si="12"/>
        <v>2293.6953232648793</v>
      </c>
      <c r="N76" s="138">
        <f t="shared" si="13"/>
        <v>69.509126359748549</v>
      </c>
      <c r="O76" s="140">
        <f t="shared" si="14"/>
        <v>22.936953232648793</v>
      </c>
    </row>
    <row r="77" spans="2:15" x14ac:dyDescent="0.3">
      <c r="B77" s="84" t="s">
        <v>525</v>
      </c>
      <c r="C77" s="84" t="s">
        <v>523</v>
      </c>
      <c r="D77" s="132">
        <v>30</v>
      </c>
      <c r="E77" s="149">
        <v>5</v>
      </c>
      <c r="F77" s="150">
        <v>81486</v>
      </c>
      <c r="G77" s="84">
        <v>100</v>
      </c>
      <c r="H77" s="84">
        <v>20</v>
      </c>
      <c r="I77" s="137">
        <f t="shared" si="8"/>
        <v>21187.948475979389</v>
      </c>
      <c r="J77" s="138">
        <f t="shared" si="9"/>
        <v>7493.7307112375092</v>
      </c>
      <c r="K77" s="151">
        <f t="shared" si="10"/>
        <v>1629.72</v>
      </c>
      <c r="L77" s="140">
        <f t="shared" si="11"/>
        <v>9123.4507112375086</v>
      </c>
      <c r="M77" s="137">
        <f t="shared" si="12"/>
        <v>3010.5998052827217</v>
      </c>
      <c r="N77" s="138">
        <f t="shared" si="13"/>
        <v>91.234507112375084</v>
      </c>
      <c r="O77" s="140">
        <f t="shared" si="14"/>
        <v>30.105998052827218</v>
      </c>
    </row>
    <row r="78" spans="2:15" x14ac:dyDescent="0.3">
      <c r="B78" s="84" t="s">
        <v>526</v>
      </c>
      <c r="C78" s="84" t="s">
        <v>523</v>
      </c>
      <c r="D78" s="132">
        <v>15</v>
      </c>
      <c r="E78" s="149">
        <v>5</v>
      </c>
      <c r="F78" s="150">
        <v>36089</v>
      </c>
      <c r="G78" s="84">
        <v>100</v>
      </c>
      <c r="H78" s="84">
        <v>20</v>
      </c>
      <c r="I78" s="137">
        <f t="shared" si="8"/>
        <v>9383.8435136050375</v>
      </c>
      <c r="J78" s="138">
        <f t="shared" si="9"/>
        <v>3318.8676292596333</v>
      </c>
      <c r="K78" s="151">
        <f t="shared" si="10"/>
        <v>721.78</v>
      </c>
      <c r="L78" s="140">
        <f t="shared" si="11"/>
        <v>4040.6476292596335</v>
      </c>
      <c r="M78" s="137">
        <f t="shared" si="12"/>
        <v>1333.3521877727235</v>
      </c>
      <c r="N78" s="138">
        <f t="shared" si="13"/>
        <v>40.406476292596338</v>
      </c>
      <c r="O78" s="140">
        <f t="shared" si="14"/>
        <v>13.333521877727234</v>
      </c>
    </row>
    <row r="79" spans="2:15" x14ac:dyDescent="0.3">
      <c r="B79" s="84" t="s">
        <v>527</v>
      </c>
      <c r="C79" s="84" t="s">
        <v>523</v>
      </c>
      <c r="D79" s="132">
        <v>20</v>
      </c>
      <c r="E79" s="149">
        <v>5</v>
      </c>
      <c r="F79" s="150">
        <v>54601</v>
      </c>
      <c r="G79" s="84">
        <v>100</v>
      </c>
      <c r="H79" s="84">
        <v>20</v>
      </c>
      <c r="I79" s="137">
        <f t="shared" si="8"/>
        <v>14197.324383783111</v>
      </c>
      <c r="J79" s="138">
        <f t="shared" si="9"/>
        <v>5021.2943396936807</v>
      </c>
      <c r="K79" s="151">
        <f t="shared" si="10"/>
        <v>1092.02</v>
      </c>
      <c r="L79" s="140">
        <f t="shared" si="11"/>
        <v>6113.3143396936812</v>
      </c>
      <c r="M79" s="137">
        <f t="shared" si="12"/>
        <v>2017.3006402111023</v>
      </c>
      <c r="N79" s="138">
        <f t="shared" si="13"/>
        <v>61.133143396936809</v>
      </c>
      <c r="O79" s="140">
        <f t="shared" si="14"/>
        <v>20.173006402111024</v>
      </c>
    </row>
    <row r="80" spans="2:15" x14ac:dyDescent="0.3">
      <c r="B80" s="84" t="s">
        <v>528</v>
      </c>
      <c r="C80" s="84" t="s">
        <v>523</v>
      </c>
      <c r="D80" s="132">
        <v>30</v>
      </c>
      <c r="E80" s="149">
        <v>5</v>
      </c>
      <c r="F80" s="150">
        <v>73558</v>
      </c>
      <c r="G80" s="84">
        <v>100</v>
      </c>
      <c r="H80" s="84">
        <v>20</v>
      </c>
      <c r="I80" s="137">
        <f t="shared" si="8"/>
        <v>19126.513928725079</v>
      </c>
      <c r="J80" s="138">
        <f t="shared" si="9"/>
        <v>6764.6447691285457</v>
      </c>
      <c r="K80" s="151">
        <f t="shared" si="10"/>
        <v>1471.16</v>
      </c>
      <c r="L80" s="140">
        <f t="shared" si="11"/>
        <v>8235.8047691285465</v>
      </c>
      <c r="M80" s="137">
        <f t="shared" si="12"/>
        <v>2717.6901612177116</v>
      </c>
      <c r="N80" s="138">
        <f t="shared" si="13"/>
        <v>82.358047691285464</v>
      </c>
      <c r="O80" s="140">
        <f t="shared" si="14"/>
        <v>27.176901612177115</v>
      </c>
    </row>
    <row r="81" spans="2:15" x14ac:dyDescent="0.3">
      <c r="B81" s="84" t="s">
        <v>529</v>
      </c>
      <c r="C81" s="84" t="s">
        <v>530</v>
      </c>
      <c r="D81" s="132">
        <v>30</v>
      </c>
      <c r="E81" s="149">
        <v>5</v>
      </c>
      <c r="F81" s="150">
        <v>45804</v>
      </c>
      <c r="G81" s="84">
        <v>100</v>
      </c>
      <c r="H81" s="84">
        <v>20</v>
      </c>
      <c r="I81" s="137">
        <f t="shared" si="8"/>
        <v>7294.4202942654001</v>
      </c>
      <c r="J81" s="138">
        <f t="shared" si="9"/>
        <v>4300.9710127117332</v>
      </c>
      <c r="K81" s="151">
        <f t="shared" si="10"/>
        <v>916.08</v>
      </c>
      <c r="L81" s="140">
        <f t="shared" si="11"/>
        <v>5217.0510127117332</v>
      </c>
      <c r="M81" s="137">
        <f t="shared" si="12"/>
        <v>1788.9093013776624</v>
      </c>
      <c r="N81" s="138">
        <f t="shared" si="13"/>
        <v>52.170510127117332</v>
      </c>
      <c r="O81" s="140">
        <f t="shared" si="14"/>
        <v>17.889093013776623</v>
      </c>
    </row>
    <row r="82" spans="2:15" x14ac:dyDescent="0.3">
      <c r="B82" s="84" t="s">
        <v>531</v>
      </c>
      <c r="C82" s="84" t="s">
        <v>443</v>
      </c>
      <c r="D82" s="132">
        <v>30</v>
      </c>
      <c r="E82" s="149">
        <v>6.5</v>
      </c>
      <c r="F82" s="150">
        <v>12360</v>
      </c>
      <c r="G82" s="84">
        <v>75</v>
      </c>
      <c r="H82" s="84">
        <v>20</v>
      </c>
      <c r="I82" s="137">
        <f t="shared" si="8"/>
        <v>2465.1429978671727</v>
      </c>
      <c r="J82" s="138">
        <f t="shared" si="9"/>
        <v>1151.0526829292348</v>
      </c>
      <c r="K82" s="151">
        <f t="shared" si="10"/>
        <v>247.20000000000002</v>
      </c>
      <c r="L82" s="140">
        <f t="shared" si="11"/>
        <v>1398.2526829292349</v>
      </c>
      <c r="M82" s="137">
        <f t="shared" si="12"/>
        <v>429.23088975908706</v>
      </c>
      <c r="N82" s="138">
        <f t="shared" si="13"/>
        <v>18.643369105723131</v>
      </c>
      <c r="O82" s="140">
        <f t="shared" si="14"/>
        <v>5.7230785301211604</v>
      </c>
    </row>
    <row r="83" spans="2:15" x14ac:dyDescent="0.3">
      <c r="B83" s="84" t="s">
        <v>532</v>
      </c>
      <c r="C83" s="84" t="s">
        <v>443</v>
      </c>
      <c r="D83" s="132">
        <v>30</v>
      </c>
      <c r="E83" s="149">
        <v>6.5</v>
      </c>
      <c r="F83" s="150">
        <v>18950</v>
      </c>
      <c r="G83" s="84">
        <v>75</v>
      </c>
      <c r="H83" s="84">
        <v>20</v>
      </c>
      <c r="I83" s="137">
        <f t="shared" si="8"/>
        <v>3779.4870396102688</v>
      </c>
      <c r="J83" s="138">
        <f t="shared" si="9"/>
        <v>1764.7611926787217</v>
      </c>
      <c r="K83" s="151">
        <f t="shared" si="10"/>
        <v>379</v>
      </c>
      <c r="L83" s="140">
        <f t="shared" si="11"/>
        <v>2143.7611926787217</v>
      </c>
      <c r="M83" s="137">
        <f t="shared" si="12"/>
        <v>658.0845761274029</v>
      </c>
      <c r="N83" s="138">
        <f t="shared" si="13"/>
        <v>28.583482569049622</v>
      </c>
      <c r="O83" s="140">
        <f t="shared" si="14"/>
        <v>8.7744610150320383</v>
      </c>
    </row>
    <row r="84" spans="2:15" x14ac:dyDescent="0.3">
      <c r="B84" s="84" t="s">
        <v>533</v>
      </c>
      <c r="C84" s="84" t="s">
        <v>443</v>
      </c>
      <c r="D84" s="132">
        <v>45</v>
      </c>
      <c r="E84" s="149">
        <v>6.5</v>
      </c>
      <c r="F84" s="150">
        <v>27480</v>
      </c>
      <c r="G84" s="84">
        <v>75</v>
      </c>
      <c r="H84" s="84">
        <v>20</v>
      </c>
      <c r="I84" s="137">
        <f t="shared" si="8"/>
        <v>5480.7548205008015</v>
      </c>
      <c r="J84" s="138">
        <f t="shared" si="9"/>
        <v>2559.1365474834442</v>
      </c>
      <c r="K84" s="151">
        <f t="shared" si="10"/>
        <v>549.6</v>
      </c>
      <c r="L84" s="140">
        <f t="shared" si="11"/>
        <v>3108.7365474834442</v>
      </c>
      <c r="M84" s="137">
        <f t="shared" si="12"/>
        <v>954.30945393039747</v>
      </c>
      <c r="N84" s="138">
        <f t="shared" si="13"/>
        <v>41.449820633112587</v>
      </c>
      <c r="O84" s="140">
        <f t="shared" si="14"/>
        <v>12.7241260524053</v>
      </c>
    </row>
    <row r="85" spans="2:15" x14ac:dyDescent="0.3">
      <c r="B85" s="84" t="s">
        <v>534</v>
      </c>
      <c r="C85" s="84" t="s">
        <v>443</v>
      </c>
      <c r="D85" s="132">
        <v>60</v>
      </c>
      <c r="E85" s="149">
        <v>6.5</v>
      </c>
      <c r="F85" s="150">
        <v>29880</v>
      </c>
      <c r="G85" s="84">
        <v>75</v>
      </c>
      <c r="H85" s="84">
        <v>20</v>
      </c>
      <c r="I85" s="137">
        <f t="shared" si="8"/>
        <v>5959.4233637759799</v>
      </c>
      <c r="J85" s="138">
        <f t="shared" si="9"/>
        <v>2782.6419228095097</v>
      </c>
      <c r="K85" s="151">
        <f t="shared" si="10"/>
        <v>597.6</v>
      </c>
      <c r="L85" s="140">
        <f t="shared" si="11"/>
        <v>3380.2419228095096</v>
      </c>
      <c r="M85" s="137">
        <f t="shared" si="12"/>
        <v>1037.6552577671132</v>
      </c>
      <c r="N85" s="138">
        <f t="shared" si="13"/>
        <v>45.069892304126796</v>
      </c>
      <c r="O85" s="140">
        <f t="shared" si="14"/>
        <v>13.835403436894843</v>
      </c>
    </row>
    <row r="86" spans="2:15" x14ac:dyDescent="0.3">
      <c r="B86" s="84" t="s">
        <v>535</v>
      </c>
      <c r="C86" s="84" t="s">
        <v>443</v>
      </c>
      <c r="D86" s="132">
        <v>45</v>
      </c>
      <c r="E86" s="149">
        <v>6.5</v>
      </c>
      <c r="F86" s="150">
        <v>19563</v>
      </c>
      <c r="G86" s="84">
        <v>75</v>
      </c>
      <c r="H86" s="84">
        <v>20</v>
      </c>
      <c r="I86" s="137">
        <f t="shared" si="8"/>
        <v>3901.7469633718038</v>
      </c>
      <c r="J86" s="138">
        <f t="shared" si="9"/>
        <v>1821.8481906265874</v>
      </c>
      <c r="K86" s="151">
        <f t="shared" si="10"/>
        <v>391.26</v>
      </c>
      <c r="L86" s="140">
        <f t="shared" si="11"/>
        <v>2213.1081906265872</v>
      </c>
      <c r="M86" s="137">
        <f t="shared" si="12"/>
        <v>679.37248352403071</v>
      </c>
      <c r="N86" s="138">
        <f t="shared" si="13"/>
        <v>29.508109208354497</v>
      </c>
      <c r="O86" s="140">
        <f t="shared" si="14"/>
        <v>9.0582997803204091</v>
      </c>
    </row>
    <row r="87" spans="2:15" x14ac:dyDescent="0.3">
      <c r="B87" s="84" t="s">
        <v>536</v>
      </c>
      <c r="C87" s="84" t="s">
        <v>443</v>
      </c>
      <c r="D87" s="132">
        <v>60</v>
      </c>
      <c r="E87" s="149">
        <v>6.5</v>
      </c>
      <c r="F87" s="150">
        <v>28149</v>
      </c>
      <c r="G87" s="84">
        <v>75</v>
      </c>
      <c r="H87" s="84">
        <v>20</v>
      </c>
      <c r="I87" s="137">
        <f t="shared" si="8"/>
        <v>5614.1836769387573</v>
      </c>
      <c r="J87" s="138">
        <f t="shared" si="9"/>
        <v>2621.4386708555849</v>
      </c>
      <c r="K87" s="151">
        <f t="shared" si="10"/>
        <v>562.98</v>
      </c>
      <c r="L87" s="140">
        <f t="shared" si="11"/>
        <v>3184.4186708555849</v>
      </c>
      <c r="M87" s="137">
        <f t="shared" si="12"/>
        <v>977.54209674988192</v>
      </c>
      <c r="N87" s="138">
        <f t="shared" si="13"/>
        <v>42.458915611407797</v>
      </c>
      <c r="O87" s="140">
        <f t="shared" si="14"/>
        <v>13.03389462333176</v>
      </c>
    </row>
    <row r="88" spans="2:15" x14ac:dyDescent="0.3">
      <c r="B88" s="84" t="s">
        <v>537</v>
      </c>
      <c r="C88" s="84" t="s">
        <v>443</v>
      </c>
      <c r="D88" s="132">
        <v>60</v>
      </c>
      <c r="E88" s="149">
        <v>6.5</v>
      </c>
      <c r="F88" s="150">
        <v>43029</v>
      </c>
      <c r="G88" s="84">
        <v>75</v>
      </c>
      <c r="H88" s="84">
        <v>20</v>
      </c>
      <c r="I88" s="137">
        <f t="shared" si="8"/>
        <v>8581.9286452448687</v>
      </c>
      <c r="J88" s="138">
        <f t="shared" si="9"/>
        <v>4007.171997877188</v>
      </c>
      <c r="K88" s="151">
        <f t="shared" si="10"/>
        <v>860.58</v>
      </c>
      <c r="L88" s="140">
        <f t="shared" si="11"/>
        <v>4867.7519978771879</v>
      </c>
      <c r="M88" s="137">
        <f t="shared" si="12"/>
        <v>1494.2860805375208</v>
      </c>
      <c r="N88" s="138">
        <f t="shared" si="13"/>
        <v>64.903359971695835</v>
      </c>
      <c r="O88" s="140">
        <f t="shared" si="14"/>
        <v>19.923814407166944</v>
      </c>
    </row>
    <row r="89" spans="2:15" x14ac:dyDescent="0.3">
      <c r="B89" s="84" t="s">
        <v>538</v>
      </c>
      <c r="C89" s="84" t="s">
        <v>443</v>
      </c>
      <c r="D89" s="132">
        <v>85</v>
      </c>
      <c r="E89" s="149">
        <v>6.5</v>
      </c>
      <c r="F89" s="150">
        <v>88783</v>
      </c>
      <c r="G89" s="84">
        <v>75</v>
      </c>
      <c r="H89" s="84">
        <v>20</v>
      </c>
      <c r="I89" s="137">
        <f t="shared" si="8"/>
        <v>17707.345532333427</v>
      </c>
      <c r="J89" s="138">
        <f t="shared" si="9"/>
        <v>8268.1157239891782</v>
      </c>
      <c r="K89" s="151">
        <f t="shared" si="10"/>
        <v>1775.66</v>
      </c>
      <c r="L89" s="140">
        <f t="shared" si="11"/>
        <v>10043.775723989178</v>
      </c>
      <c r="M89" s="137">
        <f t="shared" si="12"/>
        <v>3083.2043758479795</v>
      </c>
      <c r="N89" s="138">
        <f t="shared" si="13"/>
        <v>133.91700965318904</v>
      </c>
      <c r="O89" s="140">
        <f t="shared" si="14"/>
        <v>41.109391677973058</v>
      </c>
    </row>
    <row r="90" spans="2:15" x14ac:dyDescent="0.3">
      <c r="B90" s="84" t="s">
        <v>539</v>
      </c>
      <c r="C90" s="84" t="s">
        <v>443</v>
      </c>
      <c r="D90" s="132">
        <v>110</v>
      </c>
      <c r="E90" s="149">
        <v>6.5</v>
      </c>
      <c r="F90" s="150">
        <v>133920</v>
      </c>
      <c r="G90" s="84">
        <v>75</v>
      </c>
      <c r="H90" s="84">
        <v>20</v>
      </c>
      <c r="I90" s="137">
        <f t="shared" si="8"/>
        <v>26709.704714754997</v>
      </c>
      <c r="J90" s="138">
        <f t="shared" si="9"/>
        <v>12471.599943194426</v>
      </c>
      <c r="K90" s="151">
        <f t="shared" si="10"/>
        <v>2678.4</v>
      </c>
      <c r="L90" s="140">
        <f t="shared" si="11"/>
        <v>15149.999943194425</v>
      </c>
      <c r="M90" s="137">
        <f t="shared" si="12"/>
        <v>4650.695854088749</v>
      </c>
      <c r="N90" s="138">
        <f t="shared" si="13"/>
        <v>201.99999924259234</v>
      </c>
      <c r="O90" s="140">
        <f t="shared" si="14"/>
        <v>62.009278054516656</v>
      </c>
    </row>
    <row r="91" spans="2:15" x14ac:dyDescent="0.3">
      <c r="B91" s="84" t="s">
        <v>540</v>
      </c>
      <c r="C91" s="84" t="s">
        <v>475</v>
      </c>
      <c r="D91" s="132">
        <v>50</v>
      </c>
      <c r="E91" s="149">
        <v>7</v>
      </c>
      <c r="F91" s="150">
        <v>48100</v>
      </c>
      <c r="G91" s="84">
        <v>75</v>
      </c>
      <c r="H91" s="84">
        <v>20</v>
      </c>
      <c r="I91" s="137">
        <f t="shared" ref="I91:I103" si="15">F91*(VLOOKUP(C91,MachineCoefficientTable,2,FALSE)-(VLOOKUP(C91,MachineCoefficientTable,3,FALSE)*(H91^0.5))-(VLOOKUP(C91,MachineCoefficientTable,4,FALSE)*(G91^0.5)))^2</f>
        <v>9593.3153881400485</v>
      </c>
      <c r="J91" s="138">
        <f t="shared" ref="J91:J103" si="16">IF(ISBLANK(B91),"",PMT(InterestRate_Machinery,H91,-F91,I91,1))</f>
        <v>4479.4202304932196</v>
      </c>
      <c r="K91" s="151">
        <f t="shared" ref="K91:K103" si="17">F91*0.02</f>
        <v>962</v>
      </c>
      <c r="L91" s="140">
        <f t="shared" ref="L91:L103" si="18">J91+K91</f>
        <v>5441.4202304932196</v>
      </c>
      <c r="M91" s="137">
        <f t="shared" ref="M91:M103" si="19">(VLOOKUP(C91,MachineCoefficientTable,5,FALSE)*F91*((G91*H91)/1000)^VLOOKUP(C91,MachineCoefficientTable,6,FALSE))/H91</f>
        <v>2566.6950138861821</v>
      </c>
      <c r="N91" s="138">
        <f t="shared" ref="N91:N103" si="20">L91/G91</f>
        <v>72.55226973990959</v>
      </c>
      <c r="O91" s="140">
        <f t="shared" ref="O91:O103" si="21">M91/G91</f>
        <v>34.222600185149098</v>
      </c>
    </row>
    <row r="92" spans="2:15" x14ac:dyDescent="0.3">
      <c r="B92" s="84" t="s">
        <v>541</v>
      </c>
      <c r="C92" s="84" t="s">
        <v>475</v>
      </c>
      <c r="D92" s="132">
        <v>50</v>
      </c>
      <c r="E92" s="149">
        <v>7</v>
      </c>
      <c r="F92" s="150">
        <v>67300</v>
      </c>
      <c r="G92" s="84">
        <v>75</v>
      </c>
      <c r="H92" s="84">
        <v>20</v>
      </c>
      <c r="I92" s="137">
        <f t="shared" si="15"/>
        <v>13422.663734341482</v>
      </c>
      <c r="J92" s="138">
        <f t="shared" si="16"/>
        <v>6267.4632331017383</v>
      </c>
      <c r="K92" s="151">
        <f t="shared" si="17"/>
        <v>1346</v>
      </c>
      <c r="L92" s="140">
        <f t="shared" si="18"/>
        <v>7613.4632331017383</v>
      </c>
      <c r="M92" s="137">
        <f t="shared" si="19"/>
        <v>3591.2385537326409</v>
      </c>
      <c r="N92" s="138">
        <f t="shared" si="20"/>
        <v>101.51284310802318</v>
      </c>
      <c r="O92" s="140">
        <f t="shared" si="21"/>
        <v>47.883180716435213</v>
      </c>
    </row>
    <row r="93" spans="2:15" x14ac:dyDescent="0.3">
      <c r="B93" s="84" t="s">
        <v>542</v>
      </c>
      <c r="C93" s="84" t="s">
        <v>475</v>
      </c>
      <c r="D93" s="132">
        <v>50</v>
      </c>
      <c r="E93" s="149">
        <v>7</v>
      </c>
      <c r="F93" s="150">
        <v>133450</v>
      </c>
      <c r="G93" s="84">
        <v>75</v>
      </c>
      <c r="H93" s="84">
        <v>20</v>
      </c>
      <c r="I93" s="137">
        <f t="shared" si="15"/>
        <v>26615.965458363607</v>
      </c>
      <c r="J93" s="138">
        <f t="shared" si="16"/>
        <v>12427.830140526406</v>
      </c>
      <c r="K93" s="151">
        <f t="shared" si="17"/>
        <v>2669</v>
      </c>
      <c r="L93" s="140">
        <f t="shared" si="18"/>
        <v>15096.830140526406</v>
      </c>
      <c r="M93" s="137">
        <f t="shared" si="19"/>
        <v>7121.1112183598962</v>
      </c>
      <c r="N93" s="138">
        <f t="shared" si="20"/>
        <v>201.29106854035209</v>
      </c>
      <c r="O93" s="140">
        <f t="shared" si="21"/>
        <v>94.948149578131947</v>
      </c>
    </row>
    <row r="94" spans="2:15" x14ac:dyDescent="0.3">
      <c r="B94" s="84" t="s">
        <v>543</v>
      </c>
      <c r="C94" s="84" t="s">
        <v>475</v>
      </c>
      <c r="D94" s="132">
        <v>50</v>
      </c>
      <c r="E94" s="149">
        <v>7</v>
      </c>
      <c r="F94" s="150">
        <v>147100</v>
      </c>
      <c r="G94" s="84">
        <v>75</v>
      </c>
      <c r="H94" s="84">
        <v>20</v>
      </c>
      <c r="I94" s="137">
        <f t="shared" si="15"/>
        <v>29338.392798241188</v>
      </c>
      <c r="J94" s="138">
        <f t="shared" si="16"/>
        <v>13699.016962693402</v>
      </c>
      <c r="K94" s="151">
        <f t="shared" si="17"/>
        <v>2942</v>
      </c>
      <c r="L94" s="140">
        <f t="shared" si="18"/>
        <v>16641.0169626934</v>
      </c>
      <c r="M94" s="137">
        <f t="shared" si="19"/>
        <v>7849.4976412194883</v>
      </c>
      <c r="N94" s="138">
        <f t="shared" si="20"/>
        <v>221.88022616924533</v>
      </c>
      <c r="O94" s="140">
        <f t="shared" si="21"/>
        <v>104.65996854959317</v>
      </c>
    </row>
    <row r="95" spans="2:15" x14ac:dyDescent="0.3">
      <c r="B95" s="84" t="s">
        <v>544</v>
      </c>
      <c r="C95" s="84" t="s">
        <v>475</v>
      </c>
      <c r="D95" s="132">
        <v>50</v>
      </c>
      <c r="E95" s="149">
        <v>7</v>
      </c>
      <c r="F95" s="150">
        <v>154050</v>
      </c>
      <c r="G95" s="84">
        <v>75</v>
      </c>
      <c r="H95" s="84">
        <v>20</v>
      </c>
      <c r="I95" s="137">
        <f t="shared" si="15"/>
        <v>30724.537121475561</v>
      </c>
      <c r="J95" s="138">
        <f t="shared" si="16"/>
        <v>14346.251278741798</v>
      </c>
      <c r="K95" s="151">
        <f t="shared" si="17"/>
        <v>3081</v>
      </c>
      <c r="L95" s="140">
        <f t="shared" si="18"/>
        <v>17427.251278741798</v>
      </c>
      <c r="M95" s="137">
        <f t="shared" si="19"/>
        <v>8220.3610579868255</v>
      </c>
      <c r="N95" s="138">
        <f t="shared" si="20"/>
        <v>232.36335038322397</v>
      </c>
      <c r="O95" s="140">
        <f t="shared" si="21"/>
        <v>109.60481410649101</v>
      </c>
    </row>
    <row r="96" spans="2:15" x14ac:dyDescent="0.3">
      <c r="B96" s="84" t="s">
        <v>545</v>
      </c>
      <c r="C96" s="84" t="s">
        <v>523</v>
      </c>
      <c r="D96" s="132">
        <v>20</v>
      </c>
      <c r="E96" s="149">
        <v>5</v>
      </c>
      <c r="F96" s="150">
        <v>47938</v>
      </c>
      <c r="G96" s="84">
        <v>100</v>
      </c>
      <c r="H96" s="84">
        <v>20</v>
      </c>
      <c r="I96" s="137">
        <f t="shared" si="15"/>
        <v>12464.814496250889</v>
      </c>
      <c r="J96" s="138">
        <f t="shared" si="16"/>
        <v>4408.542115643224</v>
      </c>
      <c r="K96" s="151">
        <f t="shared" si="17"/>
        <v>958.76</v>
      </c>
      <c r="L96" s="140">
        <f t="shared" si="18"/>
        <v>5367.3021156432242</v>
      </c>
      <c r="M96" s="137">
        <f t="shared" si="19"/>
        <v>1771.1279663456685</v>
      </c>
      <c r="N96" s="138">
        <f t="shared" si="20"/>
        <v>53.673021156432242</v>
      </c>
      <c r="O96" s="140">
        <f t="shared" si="21"/>
        <v>17.711279663456686</v>
      </c>
    </row>
    <row r="97" spans="2:16" x14ac:dyDescent="0.3">
      <c r="B97" s="84" t="s">
        <v>546</v>
      </c>
      <c r="C97" s="84" t="s">
        <v>523</v>
      </c>
      <c r="D97" s="132">
        <v>30</v>
      </c>
      <c r="E97" s="149">
        <v>5</v>
      </c>
      <c r="F97" s="150">
        <v>130773</v>
      </c>
      <c r="G97" s="84">
        <v>100</v>
      </c>
      <c r="H97" s="84">
        <v>20</v>
      </c>
      <c r="I97" s="137">
        <f t="shared" si="15"/>
        <v>34003.52926943588</v>
      </c>
      <c r="J97" s="138">
        <f t="shared" si="16"/>
        <v>12026.331471671978</v>
      </c>
      <c r="K97" s="151">
        <f t="shared" si="17"/>
        <v>2615.46</v>
      </c>
      <c r="L97" s="140">
        <f t="shared" si="18"/>
        <v>14641.791471671979</v>
      </c>
      <c r="M97" s="137">
        <f t="shared" si="19"/>
        <v>4831.5682244341033</v>
      </c>
      <c r="N97" s="138">
        <f t="shared" si="20"/>
        <v>146.41791471671979</v>
      </c>
      <c r="O97" s="140">
        <f t="shared" si="21"/>
        <v>48.315682244341033</v>
      </c>
    </row>
    <row r="98" spans="2:16" x14ac:dyDescent="0.3">
      <c r="B98" s="84" t="s">
        <v>547</v>
      </c>
      <c r="C98" s="84" t="s">
        <v>523</v>
      </c>
      <c r="D98" s="132">
        <v>30</v>
      </c>
      <c r="E98" s="149">
        <v>5</v>
      </c>
      <c r="F98" s="150">
        <v>413764</v>
      </c>
      <c r="G98" s="84">
        <v>100</v>
      </c>
      <c r="H98" s="84">
        <v>20</v>
      </c>
      <c r="I98" s="137">
        <f t="shared" si="15"/>
        <v>107586.70585395202</v>
      </c>
      <c r="J98" s="138">
        <f t="shared" si="16"/>
        <v>38051.149817201447</v>
      </c>
      <c r="K98" s="151">
        <f t="shared" si="17"/>
        <v>8275.2800000000007</v>
      </c>
      <c r="L98" s="140">
        <f t="shared" si="18"/>
        <v>46326.429817201446</v>
      </c>
      <c r="M98" s="137">
        <f t="shared" si="19"/>
        <v>15287.016393405003</v>
      </c>
      <c r="N98" s="138">
        <f t="shared" si="20"/>
        <v>463.26429817201443</v>
      </c>
      <c r="O98" s="140">
        <f t="shared" si="21"/>
        <v>152.87016393405003</v>
      </c>
    </row>
    <row r="99" spans="2:16" x14ac:dyDescent="0.3">
      <c r="B99" s="84" t="s">
        <v>548</v>
      </c>
      <c r="C99" s="84" t="s">
        <v>523</v>
      </c>
      <c r="D99" s="132">
        <v>30</v>
      </c>
      <c r="E99" s="149">
        <v>5</v>
      </c>
      <c r="F99" s="150">
        <v>282750</v>
      </c>
      <c r="G99" s="84">
        <v>100</v>
      </c>
      <c r="H99" s="84">
        <v>20</v>
      </c>
      <c r="I99" s="137">
        <f t="shared" si="15"/>
        <v>73520.511886497945</v>
      </c>
      <c r="J99" s="138">
        <f t="shared" si="16"/>
        <v>26002.655162879582</v>
      </c>
      <c r="K99" s="151">
        <f t="shared" si="17"/>
        <v>5655</v>
      </c>
      <c r="L99" s="140">
        <f t="shared" si="18"/>
        <v>31657.655162879582</v>
      </c>
      <c r="M99" s="137">
        <f t="shared" si="19"/>
        <v>10446.544129589005</v>
      </c>
      <c r="N99" s="138">
        <f t="shared" si="20"/>
        <v>316.57655162879581</v>
      </c>
      <c r="O99" s="140">
        <f t="shared" si="21"/>
        <v>104.46544129589005</v>
      </c>
    </row>
    <row r="100" spans="2:16" x14ac:dyDescent="0.3">
      <c r="B100" s="84" t="s">
        <v>549</v>
      </c>
      <c r="C100" s="84" t="s">
        <v>523</v>
      </c>
      <c r="D100" s="132">
        <v>40</v>
      </c>
      <c r="E100" s="149">
        <v>5</v>
      </c>
      <c r="F100" s="150">
        <v>182112</v>
      </c>
      <c r="G100" s="84">
        <v>100</v>
      </c>
      <c r="H100" s="84">
        <v>20</v>
      </c>
      <c r="I100" s="137">
        <f t="shared" si="15"/>
        <v>47352.67006427556</v>
      </c>
      <c r="J100" s="138">
        <f t="shared" si="16"/>
        <v>16747.641156577636</v>
      </c>
      <c r="K100" s="151">
        <f t="shared" si="17"/>
        <v>3642.2400000000002</v>
      </c>
      <c r="L100" s="140">
        <f t="shared" si="18"/>
        <v>20389.881156577638</v>
      </c>
      <c r="M100" s="137">
        <f t="shared" si="19"/>
        <v>6728.3502901068541</v>
      </c>
      <c r="N100" s="138">
        <f t="shared" si="20"/>
        <v>203.89881156577638</v>
      </c>
      <c r="O100" s="140">
        <f t="shared" si="21"/>
        <v>67.283502901068545</v>
      </c>
    </row>
    <row r="101" spans="2:16" x14ac:dyDescent="0.3">
      <c r="B101" s="84" t="s">
        <v>550</v>
      </c>
      <c r="C101" s="84" t="s">
        <v>523</v>
      </c>
      <c r="D101" s="132">
        <v>40</v>
      </c>
      <c r="E101" s="149">
        <v>5</v>
      </c>
      <c r="F101" s="150">
        <v>462821</v>
      </c>
      <c r="G101" s="84">
        <v>100</v>
      </c>
      <c r="H101" s="84">
        <v>20</v>
      </c>
      <c r="I101" s="137">
        <f t="shared" si="15"/>
        <v>120342.48216382269</v>
      </c>
      <c r="J101" s="138">
        <f t="shared" si="16"/>
        <v>42562.598992534367</v>
      </c>
      <c r="K101" s="151">
        <f t="shared" si="17"/>
        <v>9256.42</v>
      </c>
      <c r="L101" s="140">
        <f t="shared" si="18"/>
        <v>51819.018992534366</v>
      </c>
      <c r="M101" s="137">
        <f t="shared" si="19"/>
        <v>17099.48718161101</v>
      </c>
      <c r="N101" s="138">
        <f t="shared" si="20"/>
        <v>518.1901899253437</v>
      </c>
      <c r="O101" s="140">
        <f t="shared" si="21"/>
        <v>170.99487181611011</v>
      </c>
    </row>
    <row r="102" spans="2:16" x14ac:dyDescent="0.3">
      <c r="B102" s="84" t="s">
        <v>551</v>
      </c>
      <c r="C102" s="84" t="s">
        <v>523</v>
      </c>
      <c r="D102" s="132">
        <v>40</v>
      </c>
      <c r="E102" s="149">
        <v>5</v>
      </c>
      <c r="F102" s="150">
        <v>319000</v>
      </c>
      <c r="G102" s="84">
        <v>100</v>
      </c>
      <c r="H102" s="84">
        <v>20</v>
      </c>
      <c r="I102" s="137">
        <f t="shared" si="15"/>
        <v>82946.218538613073</v>
      </c>
      <c r="J102" s="138">
        <f t="shared" si="16"/>
        <v>29336.328901710298</v>
      </c>
      <c r="K102" s="151">
        <f t="shared" si="17"/>
        <v>6380</v>
      </c>
      <c r="L102" s="140">
        <f t="shared" si="18"/>
        <v>35716.328901710294</v>
      </c>
      <c r="M102" s="137">
        <f t="shared" si="19"/>
        <v>11785.844659023493</v>
      </c>
      <c r="N102" s="138">
        <f t="shared" si="20"/>
        <v>357.16328901710295</v>
      </c>
      <c r="O102" s="140">
        <f t="shared" si="21"/>
        <v>117.85844659023492</v>
      </c>
    </row>
    <row r="103" spans="2:16" x14ac:dyDescent="0.3">
      <c r="B103" s="84" t="s">
        <v>552</v>
      </c>
      <c r="C103" s="84" t="s">
        <v>523</v>
      </c>
      <c r="D103" s="132">
        <v>12</v>
      </c>
      <c r="E103" s="149">
        <v>5</v>
      </c>
      <c r="F103" s="150">
        <v>74631</v>
      </c>
      <c r="G103" s="84">
        <v>100</v>
      </c>
      <c r="H103" s="84">
        <v>20</v>
      </c>
      <c r="I103" s="144">
        <f t="shared" si="15"/>
        <v>19405.514845627687</v>
      </c>
      <c r="J103" s="145">
        <f t="shared" si="16"/>
        <v>6863.3215117979362</v>
      </c>
      <c r="K103" s="154">
        <f t="shared" si="17"/>
        <v>1492.6200000000001</v>
      </c>
      <c r="L103" s="147">
        <f t="shared" si="18"/>
        <v>8355.941511797937</v>
      </c>
      <c r="M103" s="144">
        <f t="shared" si="19"/>
        <v>2757.3334568889723</v>
      </c>
      <c r="N103" s="145">
        <f t="shared" si="20"/>
        <v>83.55941511797937</v>
      </c>
      <c r="O103" s="147">
        <f t="shared" si="21"/>
        <v>27.573334568889724</v>
      </c>
    </row>
    <row r="104" spans="2:16" x14ac:dyDescent="0.3">
      <c r="B104" s="84" t="s">
        <v>553</v>
      </c>
      <c r="C104" s="84" t="s">
        <v>523</v>
      </c>
      <c r="D104" s="132">
        <v>20</v>
      </c>
      <c r="E104" s="149">
        <v>5</v>
      </c>
      <c r="F104" s="150">
        <v>114730</v>
      </c>
      <c r="G104" s="84">
        <v>100</v>
      </c>
      <c r="H104" s="84">
        <v>20</v>
      </c>
      <c r="I104" s="178">
        <f>F104*(VLOOKUP(C104,MachineCoefficientTable,2,FALSE)-(VLOOKUP(C104,MachineCoefficientTable,3,FALSE)*(H104^0.5))-(VLOOKUP(C104,MachineCoefficientTable,4,FALSE)*(G104^0.5)))^2</f>
        <v>29832.036529577046</v>
      </c>
      <c r="J104" s="145">
        <f>IF(ISBLANK(B104),"",PMT(InterestRate_Machinery,H104,-F104,I104,1))</f>
        <v>10550.962429132358</v>
      </c>
      <c r="K104" s="154">
        <f>F104*0.02</f>
        <v>2294.6</v>
      </c>
      <c r="L104" s="147">
        <f>J104+K104</f>
        <v>12845.562429132358</v>
      </c>
      <c r="M104" s="179">
        <f>(VLOOKUP(C104,MachineCoefficientTable,5,FALSE)*F104*((G104*H104)/1000)^VLOOKUP(C104,MachineCoefficientTable,6,FALSE))/H104</f>
        <v>4238.839992883276</v>
      </c>
      <c r="N104" s="145">
        <f>L104/G104</f>
        <v>128.45562429132357</v>
      </c>
      <c r="O104" s="147">
        <f>M104/G104</f>
        <v>42.388399928832762</v>
      </c>
    </row>
    <row r="105" spans="2:16" x14ac:dyDescent="0.3">
      <c r="B105" s="130" t="s">
        <v>554</v>
      </c>
      <c r="C105" s="130" t="s">
        <v>523</v>
      </c>
      <c r="D105" s="132">
        <v>28</v>
      </c>
      <c r="E105" s="149">
        <v>5</v>
      </c>
      <c r="F105" s="153">
        <v>144466</v>
      </c>
      <c r="G105" s="130">
        <v>100</v>
      </c>
      <c r="H105" s="130">
        <v>20</v>
      </c>
      <c r="I105" s="178">
        <f>F105*(VLOOKUP(C105,MachineCoefficientTable,2,FALSE)-(VLOOKUP(C105,MachineCoefficientTable,3,FALSE)*(H105^0.5))-(VLOOKUP(C105,MachineCoefficientTable,4,FALSE)*(G105^0.5)))^2</f>
        <v>37563.976198743811</v>
      </c>
      <c r="J105" s="145">
        <f>IF(ISBLANK(B105),"",PMT(InterestRate_Machinery,H105,-F105,I105,1))</f>
        <v>13285.586492521883</v>
      </c>
      <c r="K105" s="154">
        <f>F105*0.02</f>
        <v>2889.32</v>
      </c>
      <c r="L105" s="147">
        <f>J105+K105</f>
        <v>16174.906492521883</v>
      </c>
      <c r="M105" s="179">
        <f>(VLOOKUP(C105,MachineCoefficientTable,5,FALSE)*F105*((G105*H105)/1000)^VLOOKUP(C105,MachineCoefficientTable,6,FALSE))/H105</f>
        <v>5337.4728354560739</v>
      </c>
      <c r="N105" s="145">
        <f>L105/G105</f>
        <v>161.74906492521882</v>
      </c>
      <c r="O105" s="147">
        <f>M105/G105</f>
        <v>53.374728354560737</v>
      </c>
    </row>
    <row r="106" spans="2:16" x14ac:dyDescent="0.3">
      <c r="F106" s="43"/>
    </row>
    <row r="107" spans="2:16" x14ac:dyDescent="0.3">
      <c r="B107" s="234" t="s">
        <v>555</v>
      </c>
      <c r="C107" s="234"/>
      <c r="D107" s="234"/>
      <c r="E107" s="234"/>
      <c r="F107" s="234"/>
      <c r="G107" s="234"/>
      <c r="H107" s="234"/>
      <c r="I107" s="235"/>
      <c r="J107" s="232" t="s">
        <v>426</v>
      </c>
      <c r="K107" s="233"/>
      <c r="L107" s="233"/>
      <c r="M107" s="233"/>
      <c r="N107" s="232" t="s">
        <v>556</v>
      </c>
      <c r="O107" s="233"/>
      <c r="P107" s="233"/>
    </row>
    <row r="108" spans="2:16" ht="28.8" x14ac:dyDescent="0.3">
      <c r="B108" s="28" t="s">
        <v>557</v>
      </c>
      <c r="C108" s="67" t="s">
        <v>558</v>
      </c>
      <c r="D108" s="28" t="s">
        <v>120</v>
      </c>
      <c r="E108" s="28" t="s">
        <v>559</v>
      </c>
      <c r="F108" s="61" t="s">
        <v>431</v>
      </c>
      <c r="G108" s="60" t="s">
        <v>560</v>
      </c>
      <c r="H108" s="60" t="s">
        <v>433</v>
      </c>
      <c r="I108" s="60" t="s">
        <v>434</v>
      </c>
      <c r="J108" s="62" t="s">
        <v>435</v>
      </c>
      <c r="K108" s="60" t="s">
        <v>168</v>
      </c>
      <c r="L108" s="60" t="s">
        <v>437</v>
      </c>
      <c r="M108" s="60" t="s">
        <v>438</v>
      </c>
      <c r="N108" s="62" t="s">
        <v>439</v>
      </c>
      <c r="O108" s="61" t="s">
        <v>440</v>
      </c>
      <c r="P108" s="61" t="s">
        <v>441</v>
      </c>
    </row>
    <row r="109" spans="2:16" x14ac:dyDescent="0.3">
      <c r="B109" s="100" t="s">
        <v>561</v>
      </c>
      <c r="C109" s="110" t="s">
        <v>562</v>
      </c>
      <c r="D109" s="84" t="s">
        <v>186</v>
      </c>
      <c r="E109" s="84">
        <v>405</v>
      </c>
      <c r="F109" s="155">
        <v>53000</v>
      </c>
      <c r="G109" s="156">
        <v>15000</v>
      </c>
      <c r="H109" s="84">
        <v>10</v>
      </c>
      <c r="I109" s="156">
        <v>24000</v>
      </c>
      <c r="J109" s="138">
        <f>IF(ISBLANK(B109),"",PMT(InterestRate_Machinery,H109,-F109,I109,1))</f>
        <v>5929.3995332593267</v>
      </c>
      <c r="K109" s="116">
        <v>1545</v>
      </c>
      <c r="L109" s="157">
        <f>IF(ISBLANK(B109),"",J109+K109)</f>
        <v>7474.3995332593267</v>
      </c>
      <c r="M109" s="116">
        <v>2270</v>
      </c>
      <c r="N109" s="88">
        <f>IF(ISBLANK(B109),"",L109/G109)</f>
        <v>0.49829330221728846</v>
      </c>
      <c r="O109" s="88">
        <f>IF(ISBLANK(B109),"",M109/G109)</f>
        <v>0.15133333333333332</v>
      </c>
      <c r="P109" s="158">
        <v>6.7000000000000004E-2</v>
      </c>
    </row>
    <row r="110" spans="2:16" x14ac:dyDescent="0.3">
      <c r="B110" s="100" t="s">
        <v>563</v>
      </c>
      <c r="C110" s="110" t="s">
        <v>564</v>
      </c>
      <c r="D110" s="84" t="s">
        <v>186</v>
      </c>
      <c r="E110" s="84">
        <v>405</v>
      </c>
      <c r="F110" s="155">
        <v>51500</v>
      </c>
      <c r="G110" s="156">
        <v>15000</v>
      </c>
      <c r="H110" s="84">
        <v>10</v>
      </c>
      <c r="I110" s="156">
        <v>22500</v>
      </c>
      <c r="J110" s="138">
        <f>IF(ISBLANK(B110),"",PMT(InterestRate_Machinery,H110,-F110,I110,1))</f>
        <v>5812.7805163820785</v>
      </c>
      <c r="K110" s="116">
        <v>1524</v>
      </c>
      <c r="L110" s="157">
        <f t="shared" ref="L110:L113" si="22">IF(ISBLANK(B110),"",J110+K110)</f>
        <v>7336.7805163820785</v>
      </c>
      <c r="M110" s="116">
        <v>2270</v>
      </c>
      <c r="N110" s="88">
        <f t="shared" ref="N110:N113" si="23">IF(ISBLANK(B110),"",L110/G110)</f>
        <v>0.48911870109213856</v>
      </c>
      <c r="O110" s="88">
        <f t="shared" ref="O110:O113" si="24">IF(ISBLANK(B110),"",M110/G110)</f>
        <v>0.15133333333333332</v>
      </c>
      <c r="P110" s="158">
        <v>6.7000000000000004E-2</v>
      </c>
    </row>
    <row r="111" spans="2:16" x14ac:dyDescent="0.3">
      <c r="B111" s="100" t="s">
        <v>565</v>
      </c>
      <c r="C111" s="110" t="s">
        <v>566</v>
      </c>
      <c r="D111" s="84" t="s">
        <v>186</v>
      </c>
      <c r="E111" s="84">
        <v>350</v>
      </c>
      <c r="F111" s="155">
        <v>42000</v>
      </c>
      <c r="G111" s="156">
        <v>15000</v>
      </c>
      <c r="H111" s="84">
        <v>10</v>
      </c>
      <c r="I111" s="156">
        <v>12000</v>
      </c>
      <c r="J111" s="138">
        <f>IF(ISBLANK(B111),"",PMT(InterestRate_Machinery,H111,-F111,I111,1))</f>
        <v>5136.5679245593901</v>
      </c>
      <c r="K111" s="116">
        <v>1391</v>
      </c>
      <c r="L111" s="157">
        <f t="shared" si="22"/>
        <v>6527.5679245593901</v>
      </c>
      <c r="M111" s="116">
        <v>1530</v>
      </c>
      <c r="N111" s="88">
        <f t="shared" si="23"/>
        <v>0.43517119497062601</v>
      </c>
      <c r="O111" s="88">
        <f t="shared" si="24"/>
        <v>0.10199999999999999</v>
      </c>
      <c r="P111" s="158">
        <v>0.05</v>
      </c>
    </row>
    <row r="112" spans="2:16" x14ac:dyDescent="0.3">
      <c r="B112" s="100"/>
      <c r="C112" s="110"/>
      <c r="D112" s="84"/>
      <c r="E112" s="84"/>
      <c r="F112" s="155"/>
      <c r="G112" s="156"/>
      <c r="H112" s="84"/>
      <c r="I112" s="156"/>
      <c r="J112" s="138" t="str">
        <f>IF(ISBLANK(B112),"",PMT(InterestRate_Machinery,H112,-F112,I112,1))</f>
        <v/>
      </c>
      <c r="K112" s="116"/>
      <c r="L112" s="157" t="str">
        <f t="shared" si="22"/>
        <v/>
      </c>
      <c r="M112" s="116"/>
      <c r="N112" s="88" t="str">
        <f t="shared" si="23"/>
        <v/>
      </c>
      <c r="O112" s="88" t="str">
        <f t="shared" si="24"/>
        <v/>
      </c>
      <c r="P112" s="158"/>
    </row>
    <row r="113" spans="2:16" x14ac:dyDescent="0.3">
      <c r="B113" s="159"/>
      <c r="C113" s="121"/>
      <c r="D113" s="130"/>
      <c r="E113" s="130"/>
      <c r="F113" s="160"/>
      <c r="G113" s="161"/>
      <c r="H113" s="130"/>
      <c r="I113" s="161"/>
      <c r="J113" s="145" t="str">
        <f>IF(ISBLANK(B113),"",PMT(InterestRate_Machinery,H113,-F113,I113,1))</f>
        <v/>
      </c>
      <c r="K113" s="162"/>
      <c r="L113" s="163" t="str">
        <f t="shared" si="22"/>
        <v/>
      </c>
      <c r="M113" s="162"/>
      <c r="N113" s="164" t="str">
        <f t="shared" si="23"/>
        <v/>
      </c>
      <c r="O113" s="164" t="str">
        <f t="shared" si="24"/>
        <v/>
      </c>
      <c r="P113" s="165"/>
    </row>
    <row r="114" spans="2:16" x14ac:dyDescent="0.3">
      <c r="F114" s="43"/>
    </row>
    <row r="115" spans="2:16" x14ac:dyDescent="0.3">
      <c r="F115" s="43"/>
    </row>
    <row r="116" spans="2:16" x14ac:dyDescent="0.3">
      <c r="F116" s="43"/>
    </row>
    <row r="117" spans="2:16" ht="30" customHeight="1" x14ac:dyDescent="0.3">
      <c r="F117" s="43"/>
    </row>
    <row r="118" spans="2:16" x14ac:dyDescent="0.3">
      <c r="F118" s="43"/>
    </row>
    <row r="119" spans="2:16" x14ac:dyDescent="0.3">
      <c r="F119" s="43"/>
    </row>
    <row r="120" spans="2:16" x14ac:dyDescent="0.3">
      <c r="F120" s="43"/>
    </row>
    <row r="121" spans="2:16" x14ac:dyDescent="0.3">
      <c r="F121" s="43"/>
    </row>
    <row r="122" spans="2:16" x14ac:dyDescent="0.3">
      <c r="F122" s="43"/>
    </row>
    <row r="123" spans="2:16" x14ac:dyDescent="0.3">
      <c r="F123" s="43"/>
    </row>
    <row r="124" spans="2:16" x14ac:dyDescent="0.3">
      <c r="F124" s="43"/>
    </row>
    <row r="125" spans="2:16" x14ac:dyDescent="0.3">
      <c r="F125" s="43"/>
    </row>
    <row r="126" spans="2:16" x14ac:dyDescent="0.3">
      <c r="F126" s="43"/>
    </row>
    <row r="127" spans="2:16" x14ac:dyDescent="0.3">
      <c r="F127" s="43"/>
    </row>
    <row r="128" spans="2:16" x14ac:dyDescent="0.3">
      <c r="F128" s="43"/>
    </row>
    <row r="129" spans="6:6" x14ac:dyDescent="0.3">
      <c r="F129" s="43"/>
    </row>
    <row r="130" spans="6:6" x14ac:dyDescent="0.3">
      <c r="F130" s="43"/>
    </row>
    <row r="131" spans="6:6" x14ac:dyDescent="0.3">
      <c r="F131" s="43"/>
    </row>
    <row r="132" spans="6:6" x14ac:dyDescent="0.3">
      <c r="F132" s="43"/>
    </row>
    <row r="133" spans="6:6" x14ac:dyDescent="0.3">
      <c r="F133" s="43"/>
    </row>
    <row r="134" spans="6:6" x14ac:dyDescent="0.3">
      <c r="F134" s="43"/>
    </row>
    <row r="135" spans="6:6" x14ac:dyDescent="0.3">
      <c r="F135" s="43"/>
    </row>
    <row r="136" spans="6:6" x14ac:dyDescent="0.3">
      <c r="F136" s="43"/>
    </row>
    <row r="137" spans="6:6" x14ac:dyDescent="0.3">
      <c r="F137" s="43"/>
    </row>
    <row r="138" spans="6:6" x14ac:dyDescent="0.3">
      <c r="F138" s="43"/>
    </row>
    <row r="139" spans="6:6" x14ac:dyDescent="0.3">
      <c r="F139" s="43"/>
    </row>
    <row r="140" spans="6:6" x14ac:dyDescent="0.3">
      <c r="F140" s="43"/>
    </row>
    <row r="141" spans="6:6" x14ac:dyDescent="0.3">
      <c r="F141" s="43"/>
    </row>
    <row r="142" spans="6:6" x14ac:dyDescent="0.3">
      <c r="F142" s="43"/>
    </row>
    <row r="143" spans="6:6" x14ac:dyDescent="0.3">
      <c r="F143" s="43"/>
    </row>
    <row r="144" spans="6:6" x14ac:dyDescent="0.3">
      <c r="F144" s="43"/>
    </row>
    <row r="145" spans="6:6" x14ac:dyDescent="0.3">
      <c r="F145" s="43"/>
    </row>
    <row r="146" spans="6:6" x14ac:dyDescent="0.3">
      <c r="F146" s="43"/>
    </row>
    <row r="147" spans="6:6" x14ac:dyDescent="0.3">
      <c r="F147" s="43"/>
    </row>
    <row r="148" spans="6:6" x14ac:dyDescent="0.3">
      <c r="F148" s="43"/>
    </row>
    <row r="149" spans="6:6" x14ac:dyDescent="0.3">
      <c r="F149" s="43"/>
    </row>
    <row r="150" spans="6:6" x14ac:dyDescent="0.3">
      <c r="F150" s="43"/>
    </row>
    <row r="151" spans="6:6" x14ac:dyDescent="0.3">
      <c r="F151" s="43"/>
    </row>
    <row r="152" spans="6:6" x14ac:dyDescent="0.3">
      <c r="F152" s="43"/>
    </row>
    <row r="153" spans="6:6" x14ac:dyDescent="0.3">
      <c r="F153" s="43"/>
    </row>
    <row r="154" spans="6:6" x14ac:dyDescent="0.3">
      <c r="F154" s="43"/>
    </row>
    <row r="155" spans="6:6" x14ac:dyDescent="0.3">
      <c r="F155" s="43"/>
    </row>
    <row r="156" spans="6:6" x14ac:dyDescent="0.3">
      <c r="F156" s="43"/>
    </row>
    <row r="157" spans="6:6" x14ac:dyDescent="0.3">
      <c r="F157" s="43"/>
    </row>
    <row r="158" spans="6:6" x14ac:dyDescent="0.3">
      <c r="F158" s="43"/>
    </row>
    <row r="159" spans="6:6" x14ac:dyDescent="0.3">
      <c r="F159" s="43"/>
    </row>
    <row r="160" spans="6:6" x14ac:dyDescent="0.3">
      <c r="F160" s="43"/>
    </row>
    <row r="161" spans="6:6" x14ac:dyDescent="0.3">
      <c r="F161" s="43"/>
    </row>
    <row r="162" spans="6:6" x14ac:dyDescent="0.3">
      <c r="F162" s="43"/>
    </row>
    <row r="163" spans="6:6" x14ac:dyDescent="0.3">
      <c r="F163" s="43"/>
    </row>
    <row r="164" spans="6:6" x14ac:dyDescent="0.3">
      <c r="F164" s="43"/>
    </row>
    <row r="165" spans="6:6" x14ac:dyDescent="0.3">
      <c r="F165" s="43"/>
    </row>
    <row r="166" spans="6:6" x14ac:dyDescent="0.3">
      <c r="F166" s="43"/>
    </row>
    <row r="167" spans="6:6" x14ac:dyDescent="0.3">
      <c r="F167" s="43"/>
    </row>
    <row r="168" spans="6:6" x14ac:dyDescent="0.3">
      <c r="F168" s="43"/>
    </row>
    <row r="169" spans="6:6" x14ac:dyDescent="0.3">
      <c r="F169" s="43"/>
    </row>
    <row r="170" spans="6:6" x14ac:dyDescent="0.3">
      <c r="F170" s="43"/>
    </row>
    <row r="171" spans="6:6" x14ac:dyDescent="0.3">
      <c r="F171" s="43"/>
    </row>
    <row r="172" spans="6:6" x14ac:dyDescent="0.3">
      <c r="F172" s="43"/>
    </row>
    <row r="173" spans="6:6" x14ac:dyDescent="0.3">
      <c r="F173" s="43"/>
    </row>
    <row r="174" spans="6:6" x14ac:dyDescent="0.3">
      <c r="F174" s="43"/>
    </row>
    <row r="175" spans="6:6" x14ac:dyDescent="0.3">
      <c r="F175" s="43"/>
    </row>
    <row r="176" spans="6:6" x14ac:dyDescent="0.3">
      <c r="F176" s="43"/>
    </row>
    <row r="177" spans="6:6" x14ac:dyDescent="0.3">
      <c r="F177" s="43"/>
    </row>
    <row r="178" spans="6:6" x14ac:dyDescent="0.3">
      <c r="F178" s="43"/>
    </row>
    <row r="179" spans="6:6" x14ac:dyDescent="0.3">
      <c r="F179" s="43"/>
    </row>
    <row r="180" spans="6:6" x14ac:dyDescent="0.3">
      <c r="F180" s="43"/>
    </row>
    <row r="181" spans="6:6" x14ac:dyDescent="0.3">
      <c r="F181" s="43"/>
    </row>
    <row r="182" spans="6:6" x14ac:dyDescent="0.3">
      <c r="F182" s="43"/>
    </row>
    <row r="183" spans="6:6" x14ac:dyDescent="0.3">
      <c r="F183" s="43"/>
    </row>
    <row r="184" spans="6:6" x14ac:dyDescent="0.3">
      <c r="F184" s="43"/>
    </row>
    <row r="185" spans="6:6" x14ac:dyDescent="0.3">
      <c r="F185" s="43"/>
    </row>
    <row r="186" spans="6:6" x14ac:dyDescent="0.3">
      <c r="F186" s="43"/>
    </row>
    <row r="187" spans="6:6" x14ac:dyDescent="0.3">
      <c r="F187" s="43"/>
    </row>
    <row r="188" spans="6:6" x14ac:dyDescent="0.3">
      <c r="F188" s="43"/>
    </row>
    <row r="189" spans="6:6" x14ac:dyDescent="0.3">
      <c r="F189" s="43"/>
    </row>
    <row r="190" spans="6:6" x14ac:dyDescent="0.3">
      <c r="F190" s="43"/>
    </row>
    <row r="191" spans="6:6" x14ac:dyDescent="0.3">
      <c r="F191" s="43"/>
    </row>
    <row r="192" spans="6:6" x14ac:dyDescent="0.3">
      <c r="F192" s="43"/>
    </row>
    <row r="193" spans="6:6" x14ac:dyDescent="0.3">
      <c r="F193" s="43"/>
    </row>
    <row r="194" spans="6:6" x14ac:dyDescent="0.3">
      <c r="F194" s="43"/>
    </row>
    <row r="195" spans="6:6" x14ac:dyDescent="0.3">
      <c r="F195" s="43"/>
    </row>
    <row r="196" spans="6:6" x14ac:dyDescent="0.3">
      <c r="F196" s="43"/>
    </row>
    <row r="197" spans="6:6" x14ac:dyDescent="0.3">
      <c r="F197" s="43"/>
    </row>
    <row r="198" spans="6:6" x14ac:dyDescent="0.3">
      <c r="F198" s="43"/>
    </row>
    <row r="199" spans="6:6" x14ac:dyDescent="0.3">
      <c r="F199" s="43"/>
    </row>
    <row r="200" spans="6:6" x14ac:dyDescent="0.3">
      <c r="F200" s="43"/>
    </row>
    <row r="201" spans="6:6" x14ac:dyDescent="0.3">
      <c r="F201" s="43"/>
    </row>
    <row r="202" spans="6:6" x14ac:dyDescent="0.3">
      <c r="F202" s="43"/>
    </row>
    <row r="203" spans="6:6" x14ac:dyDescent="0.3">
      <c r="F203" s="43"/>
    </row>
    <row r="204" spans="6:6" x14ac:dyDescent="0.3">
      <c r="F204" s="43"/>
    </row>
    <row r="205" spans="6:6" x14ac:dyDescent="0.3">
      <c r="F205" s="43"/>
    </row>
    <row r="206" spans="6:6" x14ac:dyDescent="0.3">
      <c r="F206" s="43"/>
    </row>
    <row r="207" spans="6:6" x14ac:dyDescent="0.3">
      <c r="F207" s="43"/>
    </row>
    <row r="208" spans="6:6" x14ac:dyDescent="0.3">
      <c r="F208" s="43"/>
    </row>
    <row r="209" spans="6:6" x14ac:dyDescent="0.3">
      <c r="F209" s="43"/>
    </row>
    <row r="210" spans="6:6" x14ac:dyDescent="0.3">
      <c r="F210" s="43"/>
    </row>
    <row r="211" spans="6:6" x14ac:dyDescent="0.3">
      <c r="F211" s="43"/>
    </row>
    <row r="212" spans="6:6" x14ac:dyDescent="0.3">
      <c r="F212" s="43"/>
    </row>
    <row r="213" spans="6:6" x14ac:dyDescent="0.3">
      <c r="F213" s="43"/>
    </row>
    <row r="214" spans="6:6" x14ac:dyDescent="0.3">
      <c r="F214" s="43"/>
    </row>
    <row r="215" spans="6:6" x14ac:dyDescent="0.3">
      <c r="F215" s="43"/>
    </row>
    <row r="216" spans="6:6" x14ac:dyDescent="0.3">
      <c r="F216" s="43"/>
    </row>
    <row r="217" spans="6:6" x14ac:dyDescent="0.3">
      <c r="F217" s="43"/>
    </row>
    <row r="218" spans="6:6" x14ac:dyDescent="0.3">
      <c r="F218" s="43"/>
    </row>
    <row r="219" spans="6:6" x14ac:dyDescent="0.3">
      <c r="F219" s="43"/>
    </row>
    <row r="220" spans="6:6" x14ac:dyDescent="0.3">
      <c r="F220" s="43"/>
    </row>
    <row r="221" spans="6:6" x14ac:dyDescent="0.3">
      <c r="F221" s="43"/>
    </row>
    <row r="222" spans="6:6" x14ac:dyDescent="0.3">
      <c r="F222" s="43"/>
    </row>
    <row r="223" spans="6:6" x14ac:dyDescent="0.3">
      <c r="F223" s="43"/>
    </row>
    <row r="224" spans="6:6" x14ac:dyDescent="0.3">
      <c r="F224" s="43"/>
    </row>
    <row r="225" spans="6:6" x14ac:dyDescent="0.3">
      <c r="F225" s="43"/>
    </row>
    <row r="226" spans="6:6" x14ac:dyDescent="0.3">
      <c r="F226" s="43"/>
    </row>
    <row r="227" spans="6:6" x14ac:dyDescent="0.3">
      <c r="F227" s="43"/>
    </row>
    <row r="228" spans="6:6" x14ac:dyDescent="0.3">
      <c r="F228" s="43"/>
    </row>
    <row r="229" spans="6:6" x14ac:dyDescent="0.3">
      <c r="F229" s="43"/>
    </row>
    <row r="230" spans="6:6" x14ac:dyDescent="0.3">
      <c r="F230" s="43"/>
    </row>
    <row r="231" spans="6:6" x14ac:dyDescent="0.3">
      <c r="F231" s="43"/>
    </row>
    <row r="232" spans="6:6" x14ac:dyDescent="0.3">
      <c r="F232" s="43"/>
    </row>
    <row r="233" spans="6:6" x14ac:dyDescent="0.3">
      <c r="F233" s="43"/>
    </row>
    <row r="234" spans="6:6" x14ac:dyDescent="0.3">
      <c r="F234" s="43"/>
    </row>
    <row r="235" spans="6:6" x14ac:dyDescent="0.3">
      <c r="F235" s="43"/>
    </row>
    <row r="236" spans="6:6" x14ac:dyDescent="0.3">
      <c r="F236" s="43"/>
    </row>
    <row r="237" spans="6:6" x14ac:dyDescent="0.3">
      <c r="F237" s="43"/>
    </row>
    <row r="238" spans="6:6" x14ac:dyDescent="0.3">
      <c r="F238" s="43"/>
    </row>
    <row r="239" spans="6:6" x14ac:dyDescent="0.3">
      <c r="F239" s="43"/>
    </row>
    <row r="240" spans="6:6" x14ac:dyDescent="0.3">
      <c r="F240" s="43"/>
    </row>
    <row r="241" spans="6:6" x14ac:dyDescent="0.3">
      <c r="F241" s="43"/>
    </row>
    <row r="242" spans="6:6" x14ac:dyDescent="0.3">
      <c r="F242" s="43"/>
    </row>
    <row r="243" spans="6:6" x14ac:dyDescent="0.3">
      <c r="F243" s="43"/>
    </row>
    <row r="244" spans="6:6" x14ac:dyDescent="0.3">
      <c r="F244" s="43"/>
    </row>
    <row r="245" spans="6:6" x14ac:dyDescent="0.3">
      <c r="F245" s="43"/>
    </row>
    <row r="246" spans="6:6" x14ac:dyDescent="0.3">
      <c r="F246" s="43"/>
    </row>
    <row r="247" spans="6:6" x14ac:dyDescent="0.3">
      <c r="F247" s="43"/>
    </row>
    <row r="248" spans="6:6" x14ac:dyDescent="0.3">
      <c r="F248" s="43"/>
    </row>
    <row r="249" spans="6:6" x14ac:dyDescent="0.3">
      <c r="F249" s="43"/>
    </row>
    <row r="250" spans="6:6" x14ac:dyDescent="0.3">
      <c r="F250" s="43"/>
    </row>
    <row r="251" spans="6:6" x14ac:dyDescent="0.3">
      <c r="F251" s="43"/>
    </row>
    <row r="252" spans="6:6" x14ac:dyDescent="0.3">
      <c r="F252" s="43"/>
    </row>
    <row r="253" spans="6:6" x14ac:dyDescent="0.3">
      <c r="F253" s="43"/>
    </row>
    <row r="254" spans="6:6" x14ac:dyDescent="0.3">
      <c r="F254" s="43"/>
    </row>
    <row r="255" spans="6:6" x14ac:dyDescent="0.3">
      <c r="F255" s="43"/>
    </row>
    <row r="256" spans="6:6" x14ac:dyDescent="0.3">
      <c r="F256" s="43"/>
    </row>
    <row r="257" spans="6:6" x14ac:dyDescent="0.3">
      <c r="F257" s="43"/>
    </row>
    <row r="258" spans="6:6" x14ac:dyDescent="0.3">
      <c r="F258" s="43"/>
    </row>
    <row r="259" spans="6:6" x14ac:dyDescent="0.3">
      <c r="F259" s="43"/>
    </row>
    <row r="260" spans="6:6" x14ac:dyDescent="0.3">
      <c r="F260" s="43"/>
    </row>
    <row r="261" spans="6:6" x14ac:dyDescent="0.3">
      <c r="F261" s="43"/>
    </row>
    <row r="262" spans="6:6" x14ac:dyDescent="0.3">
      <c r="F262" s="43"/>
    </row>
    <row r="263" spans="6:6" x14ac:dyDescent="0.3">
      <c r="F263" s="43"/>
    </row>
    <row r="264" spans="6:6" x14ac:dyDescent="0.3">
      <c r="F264" s="43"/>
    </row>
    <row r="265" spans="6:6" x14ac:dyDescent="0.3">
      <c r="F265" s="43"/>
    </row>
    <row r="266" spans="6:6" x14ac:dyDescent="0.3">
      <c r="F266" s="43"/>
    </row>
    <row r="267" spans="6:6" x14ac:dyDescent="0.3">
      <c r="F267" s="43"/>
    </row>
    <row r="268" spans="6:6" x14ac:dyDescent="0.3">
      <c r="F268" s="43"/>
    </row>
    <row r="269" spans="6:6" x14ac:dyDescent="0.3">
      <c r="F269" s="43"/>
    </row>
    <row r="270" spans="6:6" x14ac:dyDescent="0.3">
      <c r="F270" s="43"/>
    </row>
    <row r="271" spans="6:6" x14ac:dyDescent="0.3">
      <c r="F271" s="43"/>
    </row>
    <row r="272" spans="6:6" x14ac:dyDescent="0.3">
      <c r="F272" s="43"/>
    </row>
    <row r="273" spans="6:6" x14ac:dyDescent="0.3">
      <c r="F273" s="43"/>
    </row>
    <row r="274" spans="6:6" x14ac:dyDescent="0.3">
      <c r="F274" s="43"/>
    </row>
    <row r="275" spans="6:6" x14ac:dyDescent="0.3">
      <c r="F275" s="43"/>
    </row>
    <row r="276" spans="6:6" x14ac:dyDescent="0.3">
      <c r="F276" s="43"/>
    </row>
    <row r="277" spans="6:6" x14ac:dyDescent="0.3">
      <c r="F277" s="43"/>
    </row>
    <row r="278" spans="6:6" x14ac:dyDescent="0.3">
      <c r="F278" s="43"/>
    </row>
    <row r="279" spans="6:6" x14ac:dyDescent="0.3">
      <c r="F279" s="43"/>
    </row>
    <row r="280" spans="6:6" x14ac:dyDescent="0.3">
      <c r="F280" s="43"/>
    </row>
    <row r="281" spans="6:6" x14ac:dyDescent="0.3">
      <c r="F281" s="43"/>
    </row>
    <row r="282" spans="6:6" x14ac:dyDescent="0.3">
      <c r="F282" s="43"/>
    </row>
    <row r="283" spans="6:6" x14ac:dyDescent="0.3">
      <c r="F283" s="43"/>
    </row>
    <row r="284" spans="6:6" x14ac:dyDescent="0.3">
      <c r="F284" s="43"/>
    </row>
    <row r="285" spans="6:6" x14ac:dyDescent="0.3">
      <c r="F285" s="43"/>
    </row>
    <row r="286" spans="6:6" x14ac:dyDescent="0.3">
      <c r="F286" s="43"/>
    </row>
    <row r="287" spans="6:6" x14ac:dyDescent="0.3">
      <c r="F287" s="43"/>
    </row>
    <row r="288" spans="6:6" x14ac:dyDescent="0.3">
      <c r="F288" s="43"/>
    </row>
    <row r="289" spans="6:6" x14ac:dyDescent="0.3">
      <c r="F289" s="43"/>
    </row>
    <row r="290" spans="6:6" x14ac:dyDescent="0.3">
      <c r="F290" s="43"/>
    </row>
    <row r="291" spans="6:6" x14ac:dyDescent="0.3">
      <c r="F291" s="43"/>
    </row>
    <row r="292" spans="6:6" x14ac:dyDescent="0.3">
      <c r="F292" s="43"/>
    </row>
    <row r="293" spans="6:6" x14ac:dyDescent="0.3">
      <c r="F293" s="43"/>
    </row>
    <row r="294" spans="6:6" x14ac:dyDescent="0.3">
      <c r="F294" s="43"/>
    </row>
    <row r="295" spans="6:6" x14ac:dyDescent="0.3">
      <c r="F295" s="43"/>
    </row>
    <row r="296" spans="6:6" x14ac:dyDescent="0.3">
      <c r="F296" s="43"/>
    </row>
    <row r="297" spans="6:6" x14ac:dyDescent="0.3">
      <c r="F297" s="43"/>
    </row>
    <row r="298" spans="6:6" x14ac:dyDescent="0.3">
      <c r="F298" s="43"/>
    </row>
    <row r="299" spans="6:6" x14ac:dyDescent="0.3">
      <c r="F299" s="43"/>
    </row>
    <row r="300" spans="6:6" x14ac:dyDescent="0.3">
      <c r="F300" s="43"/>
    </row>
    <row r="301" spans="6:6" x14ac:dyDescent="0.3">
      <c r="F301" s="43"/>
    </row>
    <row r="302" spans="6:6" x14ac:dyDescent="0.3">
      <c r="F302" s="43"/>
    </row>
    <row r="303" spans="6:6" x14ac:dyDescent="0.3">
      <c r="F303" s="43"/>
    </row>
    <row r="304" spans="6:6" x14ac:dyDescent="0.3">
      <c r="F304" s="43"/>
    </row>
    <row r="305" spans="6:6" x14ac:dyDescent="0.3">
      <c r="F305" s="43"/>
    </row>
    <row r="306" spans="6:6" x14ac:dyDescent="0.3">
      <c r="F306" s="43"/>
    </row>
    <row r="307" spans="6:6" x14ac:dyDescent="0.3">
      <c r="F307" s="43"/>
    </row>
    <row r="308" spans="6:6" x14ac:dyDescent="0.3">
      <c r="F308" s="43"/>
    </row>
    <row r="309" spans="6:6" x14ac:dyDescent="0.3">
      <c r="F309" s="43"/>
    </row>
    <row r="310" spans="6:6" x14ac:dyDescent="0.3">
      <c r="F310" s="43"/>
    </row>
    <row r="311" spans="6:6" x14ac:dyDescent="0.3">
      <c r="F311" s="43"/>
    </row>
    <row r="312" spans="6:6" x14ac:dyDescent="0.3">
      <c r="F312" s="43"/>
    </row>
    <row r="313" spans="6:6" x14ac:dyDescent="0.3">
      <c r="F313" s="43"/>
    </row>
    <row r="314" spans="6:6" x14ac:dyDescent="0.3">
      <c r="F314" s="43"/>
    </row>
    <row r="315" spans="6:6" x14ac:dyDescent="0.3">
      <c r="F315" s="43"/>
    </row>
    <row r="316" spans="6:6" x14ac:dyDescent="0.3">
      <c r="F316" s="43"/>
    </row>
    <row r="317" spans="6:6" x14ac:dyDescent="0.3">
      <c r="F317" s="43"/>
    </row>
    <row r="318" spans="6:6" x14ac:dyDescent="0.3">
      <c r="F318" s="43"/>
    </row>
    <row r="319" spans="6:6" x14ac:dyDescent="0.3">
      <c r="F319" s="43"/>
    </row>
    <row r="320" spans="6:6" x14ac:dyDescent="0.3">
      <c r="F320" s="43"/>
    </row>
  </sheetData>
  <sheetProtection algorithmName="SHA-512" hashValue="hoDMQUvF7vcI1RqFUVRC8NY/Cr0P51MSV4cF5P+jnCGjEvkWjbbGHGYPwZBdcvqsiMQrHo76rUbAPydSVbmxAw==" saltValue="+VZql0/BdV1jI4sbBs8CFg==" spinCount="100000" sheet="1" objects="1" scenarios="1"/>
  <mergeCells count="9">
    <mergeCell ref="N107:P107"/>
    <mergeCell ref="B107:I107"/>
    <mergeCell ref="J107:M107"/>
    <mergeCell ref="B1:P1"/>
    <mergeCell ref="N5:P5"/>
    <mergeCell ref="J5:M5"/>
    <mergeCell ref="N25:O25"/>
    <mergeCell ref="J25:M25"/>
    <mergeCell ref="B5:I5"/>
  </mergeCells>
  <dataValidations count="3">
    <dataValidation type="list" allowBlank="1" showInputMessage="1" showErrorMessage="1" error="Select from dropdown" prompt="Select machine category" sqref="C7:C23 C27:C105" xr:uid="{4494338C-BA95-4413-B1D5-925FEE7E9E45}">
      <formula1>MachineCategories</formula1>
    </dataValidation>
    <dataValidation type="list" allowBlank="1" showInputMessage="1" showErrorMessage="1" sqref="D109:D113" xr:uid="{B5CE99C2-C9C1-4DE1-B89F-A76893C52495}">
      <formula1>FuelTypes</formula1>
    </dataValidation>
    <dataValidation type="list" allowBlank="1" showInputMessage="1" showErrorMessage="1" error="Select from dropdown" prompt="Select fuel type" sqref="D7:D23" xr:uid="{05C9DF9B-D5A0-4276-BCC5-61D8FCA91BE2}">
      <formula1>FuelTypes</formula1>
    </dataValidation>
  </dataValidations>
  <pageMargins left="0.7" right="0.7" top="0.75" bottom="0.75" header="0.3" footer="0.3"/>
  <pageSetup orientation="portrait" r:id="rId1"/>
  <ignoredErrors>
    <ignoredError sqref="J109:J113 L109:L113 N109:O113 I7:O23 P7:P23 I36:O103 I27:O35 I104:O105" unlockedFormula="1"/>
  </ignoredErrors>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B900012361415409C4CF7339FF170AF" ma:contentTypeVersion="4" ma:contentTypeDescription="Create a new document." ma:contentTypeScope="" ma:versionID="71fff41c8c76357f6e1d68b5b0fdee69">
  <xsd:schema xmlns:xsd="http://www.w3.org/2001/XMLSchema" xmlns:xs="http://www.w3.org/2001/XMLSchema" xmlns:p="http://schemas.microsoft.com/office/2006/metadata/properties" xmlns:ns2="7a18bf6d-f16c-403b-9eec-b9692be18b6b" targetNamespace="http://schemas.microsoft.com/office/2006/metadata/properties" ma:root="true" ma:fieldsID="a9f1cb1aa7fc6833f3d127092f3091ec" ns2:_="">
    <xsd:import namespace="7a18bf6d-f16c-403b-9eec-b9692be18b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8bf6d-f16c-403b-9eec-b9692be18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E7A27C-41EC-474A-9F50-8843AC918FD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B776079-31D9-4D6A-9654-899EFFB9F1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8bf6d-f16c-403b-9eec-b9692be18b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68FC97-A9B1-449A-94D5-1716ECEE26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57</vt:i4>
      </vt:variant>
    </vt:vector>
  </HeadingPairs>
  <TitlesOfParts>
    <vt:vector size="67" baseType="lpstr">
      <vt:lpstr>TemplateInfo</vt:lpstr>
      <vt:lpstr>BudgetSummary</vt:lpstr>
      <vt:lpstr>Marketing</vt:lpstr>
      <vt:lpstr>MaterialsUsed</vt:lpstr>
      <vt:lpstr>FieldOperations</vt:lpstr>
      <vt:lpstr>FieldBudgetProfile</vt:lpstr>
      <vt:lpstr>OperatingRates</vt:lpstr>
      <vt:lpstr>MaterialLists</vt:lpstr>
      <vt:lpstr>MachineryLists</vt:lpstr>
      <vt:lpstr>Coefficients</vt:lpstr>
      <vt:lpstr>Acknowledgments</vt:lpstr>
      <vt:lpstr>BudgetDescription</vt:lpstr>
      <vt:lpstr>CashCropsPerYear</vt:lpstr>
      <vt:lpstr>Coeff1</vt:lpstr>
      <vt:lpstr>Coeff2</vt:lpstr>
      <vt:lpstr>Coeff3</vt:lpstr>
      <vt:lpstr>CustomCostPerAcre</vt:lpstr>
      <vt:lpstr>CustomServices</vt:lpstr>
      <vt:lpstr>DieselOR_CostPerGal</vt:lpstr>
      <vt:lpstr>Electric_VarCostPerKWH</vt:lpstr>
      <vt:lpstr>FertilizerCostPerAcre</vt:lpstr>
      <vt:lpstr>Fertilizers</vt:lpstr>
      <vt:lpstr>FieldCostPerAcre</vt:lpstr>
      <vt:lpstr>FuelElectric_TotalPerAcre</vt:lpstr>
      <vt:lpstr>FuelTypes</vt:lpstr>
      <vt:lpstr>FungicideCostPerAcre</vt:lpstr>
      <vt:lpstr>Fungicides</vt:lpstr>
      <vt:lpstr>HerbicideCostPerAcre</vt:lpstr>
      <vt:lpstr>Herbicides</vt:lpstr>
      <vt:lpstr>Implements</vt:lpstr>
      <vt:lpstr>InsecticideCostPerAcre</vt:lpstr>
      <vt:lpstr>Insecticides</vt:lpstr>
      <vt:lpstr>InterestRate_EffectiveOperating</vt:lpstr>
      <vt:lpstr>InterestRate_Machinery</vt:lpstr>
      <vt:lpstr>IrrigAcreInches</vt:lpstr>
      <vt:lpstr>IrrigDieselLiftFeet</vt:lpstr>
      <vt:lpstr>IrrigDieselPSI</vt:lpstr>
      <vt:lpstr>IrrigDieselUseTable</vt:lpstr>
      <vt:lpstr>IrrigElectricLiftFeet</vt:lpstr>
      <vt:lpstr>IrrigElectricPSI</vt:lpstr>
      <vt:lpstr>IrrigElectricUseTable</vt:lpstr>
      <vt:lpstr>IrrigFixedCostPerAcre</vt:lpstr>
      <vt:lpstr>IrrigPowerCost_TotalPerAcre</vt:lpstr>
      <vt:lpstr>IrrigPowerCostPerAcreInch</vt:lpstr>
      <vt:lpstr>IrrigPowerType</vt:lpstr>
      <vt:lpstr>IrrigPumpPressure</vt:lpstr>
      <vt:lpstr>IrrigRMCostPerAcreInch</vt:lpstr>
      <vt:lpstr>IrrigWellDepth</vt:lpstr>
      <vt:lpstr>LaborCost_TotalPerAcre</vt:lpstr>
      <vt:lpstr>LaborTypes</vt:lpstr>
      <vt:lpstr>MachineCategories</vt:lpstr>
      <vt:lpstr>MachineCoefficientTable</vt:lpstr>
      <vt:lpstr>MachineryFixedCostPerAcre</vt:lpstr>
      <vt:lpstr>NematicideCostPerAcre</vt:lpstr>
      <vt:lpstr>Nematicides</vt:lpstr>
      <vt:lpstr>OtherMaterialCostPerAcre</vt:lpstr>
      <vt:lpstr>OtherMaterials</vt:lpstr>
      <vt:lpstr>Planted_Acres</vt:lpstr>
      <vt:lpstr>RepF1</vt:lpstr>
      <vt:lpstr>RepF2</vt:lpstr>
      <vt:lpstr>RMCost_TotalPerAcre</vt:lpstr>
      <vt:lpstr>SeedCostPerAcre</vt:lpstr>
      <vt:lpstr>Seeds</vt:lpstr>
      <vt:lpstr>Tractors</vt:lpstr>
      <vt:lpstr>VehicleFixedCostPerAcre</vt:lpstr>
      <vt:lpstr>Vehicles</vt:lpstr>
      <vt:lpstr>YieldPerAcre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Athearn,Kevin R</dc:creator>
  <cp:keywords/>
  <dc:description/>
  <cp:lastModifiedBy>Athearn,Kevin R</cp:lastModifiedBy>
  <cp:revision/>
  <dcterms:created xsi:type="dcterms:W3CDTF">2024-11-01T20:42:21Z</dcterms:created>
  <dcterms:modified xsi:type="dcterms:W3CDTF">2025-02-23T23:22:10Z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0x0101001B900012361415409C4CF7339FF170AF</vt:lpwstr>
  </property>
</Properties>
</file>