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Corn/2025/June Budgets/"/>
    </mc:Choice>
  </mc:AlternateContent>
  <xr:revisionPtr revIDLastSave="39" documentId="8_{3242C0C2-EDF6-4785-A440-819C81F26237}" xr6:coauthVersionLast="47" xr6:coauthVersionMax="47" xr10:uidLastSave="{D14A234F-1702-4ABA-BF59-F7491499AAFD}"/>
  <bookViews>
    <workbookView xWindow="570" yWindow="2115" windowWidth="23565" windowHeight="1293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9" i="2"/>
  <c r="F8" i="2"/>
  <c r="E13" i="7"/>
  <c r="E7" i="7"/>
  <c r="F7" i="7" s="1"/>
  <c r="E8" i="7"/>
  <c r="E24" i="7"/>
  <c r="E23" i="7"/>
  <c r="E22" i="7"/>
  <c r="E21" i="7"/>
  <c r="E20" i="7"/>
  <c r="E19" i="7"/>
  <c r="E18" i="7"/>
  <c r="E17" i="7"/>
  <c r="E16" i="7"/>
  <c r="E15" i="7"/>
  <c r="N15" i="7" s="1"/>
  <c r="E14" i="7"/>
  <c r="N14" i="7" s="1"/>
  <c r="E9" i="7"/>
  <c r="N9" i="7" s="1"/>
  <c r="F8" i="7"/>
  <c r="E6" i="7"/>
  <c r="E5" i="7"/>
  <c r="F12" i="7"/>
  <c r="F14" i="7"/>
  <c r="H14" i="7" s="1"/>
  <c r="E10" i="7"/>
  <c r="E71" i="9"/>
  <c r="G71" i="9" s="1"/>
  <c r="E70" i="9"/>
  <c r="G70" i="9"/>
  <c r="E69" i="9"/>
  <c r="G69" i="9" s="1"/>
  <c r="E68" i="9"/>
  <c r="G68" i="9"/>
  <c r="E67" i="9"/>
  <c r="G67" i="9" s="1"/>
  <c r="E66" i="9"/>
  <c r="G66" i="9"/>
  <c r="E65" i="9"/>
  <c r="G65" i="9" s="1"/>
  <c r="E64" i="9"/>
  <c r="G64" i="9" s="1"/>
  <c r="E58" i="9"/>
  <c r="G58" i="9"/>
  <c r="E57" i="9"/>
  <c r="G57" i="9"/>
  <c r="E52" i="9"/>
  <c r="G52" i="9" s="1"/>
  <c r="E51" i="9"/>
  <c r="G51" i="9" s="1"/>
  <c r="E50" i="9"/>
  <c r="G50" i="9"/>
  <c r="E49" i="9"/>
  <c r="G49" i="9" s="1"/>
  <c r="E48" i="9"/>
  <c r="G48" i="9"/>
  <c r="E47" i="9"/>
  <c r="G47" i="9"/>
  <c r="E42" i="9"/>
  <c r="G42" i="9" s="1"/>
  <c r="E34" i="9"/>
  <c r="G34" i="9" s="1"/>
  <c r="E33" i="9"/>
  <c r="G33" i="9"/>
  <c r="E32" i="9"/>
  <c r="G32" i="9" s="1"/>
  <c r="E31" i="9"/>
  <c r="G31" i="9" s="1"/>
  <c r="E30" i="9"/>
  <c r="G30" i="9"/>
  <c r="E29" i="9"/>
  <c r="G29" i="9"/>
  <c r="E28" i="9"/>
  <c r="G28" i="9"/>
  <c r="E27" i="9"/>
  <c r="G27" i="9"/>
  <c r="E26" i="9"/>
  <c r="G26" i="9" s="1"/>
  <c r="E21" i="9"/>
  <c r="G21" i="9" s="1"/>
  <c r="E20" i="9"/>
  <c r="G20" i="9"/>
  <c r="E19" i="9"/>
  <c r="G19" i="9" s="1"/>
  <c r="E6" i="9"/>
  <c r="G6" i="9"/>
  <c r="E5" i="9"/>
  <c r="G5" i="9" s="1"/>
  <c r="F24" i="7"/>
  <c r="F23" i="7"/>
  <c r="F22" i="7"/>
  <c r="F21" i="7"/>
  <c r="F20" i="7"/>
  <c r="F19" i="7"/>
  <c r="F18" i="7"/>
  <c r="F17" i="7"/>
  <c r="F11" i="7"/>
  <c r="F10" i="7"/>
  <c r="F6" i="7"/>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E31" i="2"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G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N17" i="7"/>
  <c r="N18" i="7"/>
  <c r="I19" i="7"/>
  <c r="N20" i="7"/>
  <c r="N21" i="7"/>
  <c r="N22" i="7"/>
  <c r="N23" i="7"/>
  <c r="N24" i="7"/>
  <c r="N40" i="7"/>
  <c r="N41" i="7"/>
  <c r="N42" i="7"/>
  <c r="N43" i="7"/>
  <c r="N44" i="7"/>
  <c r="N45" i="7"/>
  <c r="N46" i="7"/>
  <c r="N47" i="7"/>
  <c r="D12" i="8"/>
  <c r="D13" i="8"/>
  <c r="D14" i="8"/>
  <c r="D15" i="8"/>
  <c r="D16" i="8"/>
  <c r="D20" i="8"/>
  <c r="D21" i="8"/>
  <c r="D22" i="8"/>
  <c r="D24" i="8"/>
  <c r="E35" i="2"/>
  <c r="E34" i="7"/>
  <c r="E27" i="14"/>
  <c r="E26" i="14"/>
  <c r="E25" i="14"/>
  <c r="E24" i="14"/>
  <c r="E28" i="14" s="1"/>
  <c r="E26" i="2" s="1"/>
  <c r="F26" i="2" s="1"/>
  <c r="F25" i="2" s="1"/>
  <c r="E23" i="14"/>
  <c r="E22" i="14"/>
  <c r="H41" i="4"/>
  <c r="H132" i="4"/>
  <c r="H131" i="4"/>
  <c r="H130" i="4"/>
  <c r="H129" i="4"/>
  <c r="H128" i="4"/>
  <c r="H127" i="4"/>
  <c r="H126" i="4"/>
  <c r="H125" i="4"/>
  <c r="H124" i="4"/>
  <c r="H123" i="4"/>
  <c r="H122" i="4"/>
  <c r="H121" i="4"/>
  <c r="H120" i="4"/>
  <c r="H119" i="4"/>
  <c r="H118" i="4"/>
  <c r="H117" i="4"/>
  <c r="E46" i="9" s="1"/>
  <c r="G46" i="9" s="1"/>
  <c r="H116" i="4"/>
  <c r="H92" i="4"/>
  <c r="H91" i="4"/>
  <c r="H90" i="4"/>
  <c r="H89" i="4"/>
  <c r="H88" i="4"/>
  <c r="H87" i="4"/>
  <c r="H86" i="4"/>
  <c r="H85" i="4"/>
  <c r="H84" i="4"/>
  <c r="H83" i="4"/>
  <c r="H82" i="4"/>
  <c r="H81" i="4"/>
  <c r="H80" i="4"/>
  <c r="E25" i="9" s="1"/>
  <c r="G25" i="9" s="1"/>
  <c r="H79" i="4"/>
  <c r="H78" i="4"/>
  <c r="H77" i="4"/>
  <c r="H76" i="4"/>
  <c r="M7" i="3"/>
  <c r="M8" i="3"/>
  <c r="O8" i="3"/>
  <c r="M9" i="3"/>
  <c r="O9" i="3"/>
  <c r="M10" i="3"/>
  <c r="O10" i="3"/>
  <c r="M11" i="3"/>
  <c r="O11" i="3"/>
  <c r="M12" i="3"/>
  <c r="O12" i="3"/>
  <c r="M13" i="3"/>
  <c r="M14" i="3"/>
  <c r="O14" i="3"/>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J46" i="7"/>
  <c r="D46" i="7"/>
  <c r="I46" i="7"/>
  <c r="J45" i="7"/>
  <c r="D45" i="7"/>
  <c r="I45" i="7"/>
  <c r="H45" i="7"/>
  <c r="J44" i="7"/>
  <c r="D44" i="7"/>
  <c r="I44" i="7"/>
  <c r="J43" i="7"/>
  <c r="D43" i="7"/>
  <c r="I43" i="7"/>
  <c r="K43" i="7" s="1"/>
  <c r="M43" i="7" s="1"/>
  <c r="J42" i="7"/>
  <c r="D42" i="7"/>
  <c r="I42" i="7"/>
  <c r="J41" i="7"/>
  <c r="D41" i="7"/>
  <c r="I41" i="7"/>
  <c r="J40" i="7"/>
  <c r="D40" i="7"/>
  <c r="I40" i="7"/>
  <c r="I39" i="7"/>
  <c r="K39" i="7" s="1"/>
  <c r="M39" i="7" s="1"/>
  <c r="I38" i="7"/>
  <c r="H47" i="7"/>
  <c r="H46" i="7"/>
  <c r="K46" i="7" s="1"/>
  <c r="M46" i="7" s="1"/>
  <c r="H44" i="7"/>
  <c r="H43" i="7"/>
  <c r="H42" i="7"/>
  <c r="H41" i="7"/>
  <c r="K41" i="7" s="1"/>
  <c r="M41" i="7" s="1"/>
  <c r="H40" i="7"/>
  <c r="G55" i="7"/>
  <c r="B65" i="2"/>
  <c r="D19" i="9"/>
  <c r="C19" i="9"/>
  <c r="H60" i="4"/>
  <c r="E18" i="9" s="1"/>
  <c r="G18" i="9" s="1"/>
  <c r="D18" i="9"/>
  <c r="C18" i="9"/>
  <c r="C14" i="9"/>
  <c r="D14" i="9"/>
  <c r="H57" i="4"/>
  <c r="E14" i="9" s="1"/>
  <c r="G14" i="9" s="1"/>
  <c r="C15" i="9"/>
  <c r="D15" i="9"/>
  <c r="H70" i="4"/>
  <c r="E15" i="9" s="1"/>
  <c r="G15" i="9" s="1"/>
  <c r="C16" i="9"/>
  <c r="D16" i="9"/>
  <c r="H37" i="4"/>
  <c r="E16" i="9" s="1"/>
  <c r="G16" i="9" s="1"/>
  <c r="C12" i="9"/>
  <c r="D12" i="9"/>
  <c r="H63" i="4"/>
  <c r="E12" i="9" s="1"/>
  <c r="G12" i="9" s="1"/>
  <c r="C13" i="9"/>
  <c r="D13" i="9"/>
  <c r="H55" i="4"/>
  <c r="E13" i="9" s="1"/>
  <c r="G13" i="9" s="1"/>
  <c r="H40" i="4"/>
  <c r="E11" i="9" s="1"/>
  <c r="G11" i="9" s="1"/>
  <c r="I17" i="7"/>
  <c r="I14" i="3"/>
  <c r="J14" i="3"/>
  <c r="K14" i="3"/>
  <c r="H28" i="4"/>
  <c r="E4" i="9" s="1"/>
  <c r="G4" i="9" s="1"/>
  <c r="G52" i="7"/>
  <c r="G53" i="7"/>
  <c r="G54" i="7"/>
  <c r="G57" i="7"/>
  <c r="G58" i="7"/>
  <c r="G59" i="7"/>
  <c r="G60" i="7"/>
  <c r="G61" i="7"/>
  <c r="B56" i="2"/>
  <c r="B51" i="2"/>
  <c r="B52" i="2" s="1"/>
  <c r="E48" i="2"/>
  <c r="C48" i="2" s="1"/>
  <c r="H46" i="4"/>
  <c r="E10" i="9" s="1"/>
  <c r="G10" i="9" s="1"/>
  <c r="H72" i="4"/>
  <c r="E17" i="9" s="1"/>
  <c r="G17" i="9" s="1"/>
  <c r="B49" i="2"/>
  <c r="E32" i="2"/>
  <c r="G32" i="2" s="1"/>
  <c r="B48" i="2"/>
  <c r="C47" i="2"/>
  <c r="F38" i="2"/>
  <c r="D36" i="8"/>
  <c r="F5" i="2"/>
  <c r="C38" i="8"/>
  <c r="C32" i="8"/>
  <c r="C26" i="8"/>
  <c r="C19" i="8"/>
  <c r="C11" i="8"/>
  <c r="C39" i="14"/>
  <c r="C40" i="14" s="1"/>
  <c r="D39" i="14"/>
  <c r="D40" i="14" s="1"/>
  <c r="E39" i="14"/>
  <c r="E40" i="14" s="1"/>
  <c r="H33" i="7"/>
  <c r="F34" i="7"/>
  <c r="I30" i="7"/>
  <c r="J30" i="7"/>
  <c r="J29" i="7"/>
  <c r="J31" i="7"/>
  <c r="J32" i="7"/>
  <c r="J33" i="7"/>
  <c r="I31" i="7"/>
  <c r="E14" i="14"/>
  <c r="B16" i="14"/>
  <c r="I29" i="7" s="1"/>
  <c r="I32" i="7"/>
  <c r="I33" i="7"/>
  <c r="D14" i="14"/>
  <c r="F6" i="2"/>
  <c r="G6" i="2"/>
  <c r="D6" i="2"/>
  <c r="B6" i="2"/>
  <c r="B4" i="2"/>
  <c r="B3" i="2"/>
  <c r="C17" i="8"/>
  <c r="C24" i="8"/>
  <c r="C36" i="8"/>
  <c r="H143" i="4"/>
  <c r="E63" i="9" s="1"/>
  <c r="G63" i="9" s="1"/>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E40" i="9" s="1"/>
  <c r="G40" i="9" s="1"/>
  <c r="D40" i="9"/>
  <c r="C40" i="9"/>
  <c r="H108" i="4"/>
  <c r="E38" i="9" s="1"/>
  <c r="G38" i="9" s="1"/>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E62" i="9" s="1"/>
  <c r="G62" i="9" s="1"/>
  <c r="H138" i="4"/>
  <c r="H137" i="4"/>
  <c r="H136" i="4"/>
  <c r="H135" i="4"/>
  <c r="E56" i="9" s="1"/>
  <c r="G56" i="9" s="1"/>
  <c r="H113" i="4"/>
  <c r="H112" i="4"/>
  <c r="H111" i="4"/>
  <c r="H110" i="4"/>
  <c r="H109" i="4"/>
  <c r="H107" i="4"/>
  <c r="H106" i="4"/>
  <c r="H104" i="4"/>
  <c r="H103" i="4"/>
  <c r="H102" i="4"/>
  <c r="E39" i="9" s="1"/>
  <c r="G39" i="9" s="1"/>
  <c r="H101" i="4"/>
  <c r="H97" i="4"/>
  <c r="E41" i="9" s="1"/>
  <c r="G41" i="9" s="1"/>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N48" i="7" s="1"/>
  <c r="E23" i="2" s="1"/>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29" i="7" s="1"/>
  <c r="H39" i="7"/>
  <c r="E4" i="11"/>
  <c r="C24" i="11"/>
  <c r="I9" i="7"/>
  <c r="H38" i="7"/>
  <c r="H32" i="7"/>
  <c r="H31" i="7"/>
  <c r="H30" i="7"/>
  <c r="I15" i="7"/>
  <c r="D17" i="8"/>
  <c r="E34" i="2"/>
  <c r="E33" i="2" s="1"/>
  <c r="G48" i="2"/>
  <c r="D48" i="2"/>
  <c r="F35" i="2"/>
  <c r="G35" i="2"/>
  <c r="G62" i="7"/>
  <c r="E14" i="2"/>
  <c r="F14" i="2" s="1"/>
  <c r="J18" i="7"/>
  <c r="I18" i="7"/>
  <c r="J19" i="7"/>
  <c r="J17" i="7"/>
  <c r="J20" i="7"/>
  <c r="H18" i="7"/>
  <c r="I20" i="7"/>
  <c r="H20" i="7"/>
  <c r="H17" i="7"/>
  <c r="L24" i="3"/>
  <c r="N24" i="3"/>
  <c r="L50" i="3"/>
  <c r="N50" i="3"/>
  <c r="L62" i="3"/>
  <c r="N62" i="3"/>
  <c r="L53" i="3"/>
  <c r="N53" i="3"/>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L56" i="3"/>
  <c r="N56" i="3"/>
  <c r="L70" i="3"/>
  <c r="N70" i="3"/>
  <c r="L73" i="3"/>
  <c r="N73" i="3"/>
  <c r="L23" i="3"/>
  <c r="N23" i="3"/>
  <c r="I21" i="7"/>
  <c r="K21" i="7" s="1"/>
  <c r="M21" i="7" s="1"/>
  <c r="J14" i="7"/>
  <c r="N11" i="7"/>
  <c r="I14" i="7"/>
  <c r="H19" i="7"/>
  <c r="K19" i="7"/>
  <c r="M19" i="7" s="1"/>
  <c r="N19" i="7"/>
  <c r="N10" i="7"/>
  <c r="I22" i="7"/>
  <c r="K22" i="7" s="1"/>
  <c r="M22" i="7" s="1"/>
  <c r="J24" i="7"/>
  <c r="H24" i="7"/>
  <c r="H21" i="7"/>
  <c r="N8" i="7"/>
  <c r="H23" i="7"/>
  <c r="I23" i="7"/>
  <c r="J21" i="7"/>
  <c r="N6" i="7"/>
  <c r="I12" i="7"/>
  <c r="J22" i="7"/>
  <c r="I24" i="7"/>
  <c r="N5" i="7"/>
  <c r="K40" i="7"/>
  <c r="M40" i="7"/>
  <c r="J48" i="7"/>
  <c r="K44" i="7"/>
  <c r="M44" i="7" s="1"/>
  <c r="K42" i="7"/>
  <c r="M42" i="7" s="1"/>
  <c r="K45" i="7"/>
  <c r="M45" i="7" s="1"/>
  <c r="I11" i="7"/>
  <c r="J34" i="7"/>
  <c r="J11" i="7"/>
  <c r="H10" i="7"/>
  <c r="I10" i="7"/>
  <c r="J10" i="7"/>
  <c r="I8" i="7"/>
  <c r="J8" i="7"/>
  <c r="N7" i="7"/>
  <c r="J7" i="7"/>
  <c r="H6" i="7"/>
  <c r="J6" i="7"/>
  <c r="I6" i="7"/>
  <c r="H5" i="7"/>
  <c r="K5" i="7" s="1"/>
  <c r="M5" i="7" s="1"/>
  <c r="J5" i="7"/>
  <c r="K33" i="7"/>
  <c r="M33" i="7" s="1"/>
  <c r="H22" i="7"/>
  <c r="N12" i="7"/>
  <c r="F32" i="2"/>
  <c r="G65" i="7"/>
  <c r="G14" i="2"/>
  <c r="K30" i="7" l="1"/>
  <c r="M30" i="7" s="1"/>
  <c r="K29" i="7"/>
  <c r="M29" i="7" s="1"/>
  <c r="I48" i="7"/>
  <c r="K38" i="7"/>
  <c r="M38" i="7" s="1"/>
  <c r="K14" i="7"/>
  <c r="M14" i="7" s="1"/>
  <c r="K23" i="7"/>
  <c r="M23" i="7" s="1"/>
  <c r="K24" i="7"/>
  <c r="M24" i="7" s="1"/>
  <c r="K17" i="7"/>
  <c r="M17" i="7" s="1"/>
  <c r="K20" i="7"/>
  <c r="M20" i="7" s="1"/>
  <c r="K6" i="7"/>
  <c r="M6" i="7" s="1"/>
  <c r="K18" i="7"/>
  <c r="M18" i="7" s="1"/>
  <c r="K47" i="7"/>
  <c r="M47" i="7" s="1"/>
  <c r="M48" i="7" s="1"/>
  <c r="H48" i="7"/>
  <c r="H34" i="7"/>
  <c r="H12" i="7"/>
  <c r="K12" i="7" s="1"/>
  <c r="M12" i="7" s="1"/>
  <c r="H11" i="7"/>
  <c r="K11" i="7" s="1"/>
  <c r="M11" i="7" s="1"/>
  <c r="H8" i="7"/>
  <c r="H7" i="7"/>
  <c r="G72" i="9"/>
  <c r="E13" i="2" s="1"/>
  <c r="G13" i="2" s="1"/>
  <c r="G59" i="9"/>
  <c r="G7" i="9"/>
  <c r="E10" i="2" s="1"/>
  <c r="G53" i="9"/>
  <c r="G35" i="9"/>
  <c r="F10" i="2"/>
  <c r="G10" i="2"/>
  <c r="G43" i="9"/>
  <c r="G22" i="9"/>
  <c r="E11" i="2" s="1"/>
  <c r="F39" i="14"/>
  <c r="F40" i="14" s="1"/>
  <c r="E24" i="2"/>
  <c r="N31" i="7"/>
  <c r="N30" i="7"/>
  <c r="N33" i="7"/>
  <c r="N32" i="7"/>
  <c r="G26" i="2"/>
  <c r="G25" i="2" s="1"/>
  <c r="E30" i="2"/>
  <c r="E39" i="2" s="1"/>
  <c r="F31" i="2"/>
  <c r="F30" i="2" s="1"/>
  <c r="G31" i="2"/>
  <c r="G30" i="2" s="1"/>
  <c r="D27" i="8"/>
  <c r="D39" i="8" s="1"/>
  <c r="G34" i="2"/>
  <c r="G33" i="2" s="1"/>
  <c r="F13" i="2"/>
  <c r="F36" i="2"/>
  <c r="B50" i="2"/>
  <c r="E25" i="2"/>
  <c r="B53" i="2"/>
  <c r="F48" i="2"/>
  <c r="F34" i="2"/>
  <c r="G23" i="2"/>
  <c r="F23" i="2"/>
  <c r="K32" i="7"/>
  <c r="M32" i="7" s="1"/>
  <c r="I34" i="7"/>
  <c r="E18" i="2" s="1"/>
  <c r="F18" i="2" s="1"/>
  <c r="N29" i="7"/>
  <c r="K31" i="7"/>
  <c r="M31" i="7" s="1"/>
  <c r="J16" i="7"/>
  <c r="N16" i="7"/>
  <c r="F16" i="7"/>
  <c r="H16" i="7" s="1"/>
  <c r="K10" i="7"/>
  <c r="M10" i="7" s="1"/>
  <c r="J9" i="7"/>
  <c r="F9" i="7"/>
  <c r="H9" i="7" s="1"/>
  <c r="I7" i="7"/>
  <c r="K8" i="7"/>
  <c r="M8" i="7" s="1"/>
  <c r="H13" i="7"/>
  <c r="I16" i="7"/>
  <c r="F15" i="7"/>
  <c r="F13" i="7"/>
  <c r="J13" i="7"/>
  <c r="I13" i="7"/>
  <c r="J15" i="7"/>
  <c r="N13" i="7"/>
  <c r="H15" i="7"/>
  <c r="K15" i="7" s="1"/>
  <c r="M15" i="7" s="1"/>
  <c r="K7" i="7" l="1"/>
  <c r="M7" i="7" s="1"/>
  <c r="E12" i="2"/>
  <c r="F12" i="2" s="1"/>
  <c r="G11" i="2"/>
  <c r="F11" i="2"/>
  <c r="N34" i="7"/>
  <c r="G24" i="2"/>
  <c r="F24" i="2"/>
  <c r="G39" i="2"/>
  <c r="F33" i="2"/>
  <c r="F39" i="2" s="1"/>
  <c r="M34" i="7"/>
  <c r="G18" i="2"/>
  <c r="N25" i="7"/>
  <c r="E22" i="2" s="1"/>
  <c r="K16" i="7"/>
  <c r="M16" i="7" s="1"/>
  <c r="K9" i="7"/>
  <c r="M9" i="7" s="1"/>
  <c r="J25" i="7"/>
  <c r="J65" i="7" s="1"/>
  <c r="E19" i="2" s="1"/>
  <c r="G19" i="2" s="1"/>
  <c r="I25" i="7"/>
  <c r="I65" i="7" s="1"/>
  <c r="E17" i="2" s="1"/>
  <c r="G17" i="2" s="1"/>
  <c r="K13" i="7"/>
  <c r="M13" i="7" s="1"/>
  <c r="H25" i="7"/>
  <c r="H65" i="7" s="1"/>
  <c r="E9" i="2" l="1"/>
  <c r="G12" i="2"/>
  <c r="G9" i="2" s="1"/>
  <c r="F9" i="2"/>
  <c r="E21" i="2"/>
  <c r="E42" i="2" s="1"/>
  <c r="L65" i="7"/>
  <c r="M25" i="7"/>
  <c r="F19" i="2"/>
  <c r="F17" i="2"/>
  <c r="F22" i="2"/>
  <c r="G22" i="2"/>
  <c r="E16" i="2"/>
  <c r="K65" i="7"/>
  <c r="N65" i="7" l="1"/>
  <c r="E20" i="2"/>
  <c r="E40" i="2" s="1"/>
  <c r="E41" i="2" s="1"/>
  <c r="E43" i="2" s="1"/>
  <c r="E44" i="2" s="1"/>
  <c r="G21" i="2"/>
  <c r="G42" i="2" s="1"/>
  <c r="F21" i="2"/>
  <c r="F42" i="2" s="1"/>
  <c r="G16" i="2"/>
  <c r="F16" i="2"/>
  <c r="E15" i="2" l="1"/>
  <c r="E27" i="2" s="1"/>
  <c r="F20" i="2"/>
  <c r="F40" i="2" s="1"/>
  <c r="F41" i="2" s="1"/>
  <c r="F43" i="2" s="1"/>
  <c r="F44" i="2" s="1"/>
  <c r="G20" i="2"/>
  <c r="G40" i="2" s="1"/>
  <c r="G41" i="2" s="1"/>
  <c r="G43" i="2" s="1"/>
  <c r="G44" i="2" s="1"/>
  <c r="F49" i="2" l="1"/>
  <c r="G49" i="2"/>
  <c r="D49" i="2"/>
  <c r="G52" i="2"/>
  <c r="D53" i="2"/>
  <c r="F50" i="2"/>
  <c r="G51" i="2"/>
  <c r="E50" i="2"/>
  <c r="C51" i="2"/>
  <c r="C50" i="2"/>
  <c r="E53" i="2"/>
  <c r="E52" i="2"/>
  <c r="C53" i="2"/>
  <c r="D52" i="2"/>
  <c r="G50" i="2"/>
  <c r="D50" i="2"/>
  <c r="F51" i="2"/>
  <c r="E51" i="2"/>
  <c r="C52" i="2"/>
  <c r="D51" i="2"/>
  <c r="C49" i="2"/>
  <c r="E49" i="2"/>
  <c r="G53" i="2"/>
  <c r="F52" i="2"/>
  <c r="F53" i="2"/>
  <c r="G15" i="2"/>
  <c r="G27" i="2" s="1"/>
  <c r="F15" i="2"/>
  <c r="F27" i="2" s="1"/>
</calcChain>
</file>

<file path=xl/sharedStrings.xml><?xml version="1.0" encoding="utf-8"?>
<sst xmlns="http://schemas.openxmlformats.org/spreadsheetml/2006/main" count="1419" uniqueCount="662">
  <si>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</si>
  <si>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</si>
  <si>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</si>
  <si>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</si>
  <si>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</si>
  <si>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</si>
  <si>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</si>
  <si>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</si>
  <si>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</si>
  <si>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</si>
  <si>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</si>
  <si>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</si>
  <si>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</si>
  <si>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</si>
  <si>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</si>
  <si>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</si>
  <si>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</si>
  <si>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</si>
  <si>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</si>
  <si>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</si>
  <si>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Field Name</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</si>
  <si>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</si>
  <si>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</si>
  <si>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</si>
  <si>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</si>
  <si>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</si>
  <si>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</si>
  <si>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</si>
  <si>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</si>
  <si>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</si>
  <si>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</si>
  <si>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</si>
  <si>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</si>
  <si>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</si>
  <si>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</si>
  <si>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</si>
  <si>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</si>
  <si>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</si>
  <si>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</si>
  <si>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</si>
  <si>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</si>
  <si>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</si>
  <si>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</si>
  <si>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</si>
  <si>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</si>
  <si>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</si>
  <si>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</si>
  <si>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</si>
  <si>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</si>
  <si>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Per Field</t>
  </si>
  <si>
    <t>Per Acre</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</si>
  <si>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</si>
  <si>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</si>
  <si>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</si>
  <si>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</si>
  <si>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</si>
  <si>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</si>
  <si>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</si>
  <si>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</si>
  <si>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</si>
  <si>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</si>
  <si>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</si>
  <si>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</si>
  <si>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</si>
  <si>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</si>
  <si>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</si>
  <si>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</si>
  <si>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</si>
  <si>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</si>
  <si>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</si>
  <si>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</si>
  <si>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</si>
  <si>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</si>
  <si>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</si>
  <si>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</si>
  <si>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</si>
  <si>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</si>
  <si>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</si>
  <si>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</si>
  <si>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</si>
  <si>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</si>
  <si>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</si>
  <si>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</si>
  <si>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</si>
  <si>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</si>
  <si>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</si>
  <si>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</si>
  <si>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</si>
  <si>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</si>
  <si>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</si>
  <si>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</si>
  <si>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</si>
  <si>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</si>
  <si>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</si>
  <si>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</si>
  <si>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</si>
  <si>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</si>
  <si>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</si>
  <si>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</si>
  <si>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</si>
  <si>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</si>
  <si>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</si>
  <si>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</si>
  <si>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</si>
  <si>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</si>
  <si>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</si>
  <si>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</si>
  <si>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</si>
  <si>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</si>
  <si>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</si>
  <si>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</si>
  <si>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</si>
  <si>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</si>
  <si>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</si>
  <si>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</si>
  <si>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</si>
  <si>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</si>
  <si>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</si>
  <si>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</si>
  <si>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</si>
  <si>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</si>
  <si>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</si>
  <si>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</si>
  <si>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</si>
  <si>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</si>
  <si>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</si>
  <si>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</si>
  <si>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</si>
  <si>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Prep cover crop seed bed</t>
  </si>
  <si>
    <t>Tractor, 275-299 hp</t>
  </si>
  <si>
    <t>Disc harrow, 20-27'</t>
  </si>
  <si>
    <t>Tractor driver labor</t>
  </si>
  <si>
    <t>Tractor, 225-249 hp</t>
  </si>
  <si>
    <t>Spreader, pull-type, medium clearance, 6-ton, 200 cu ft</t>
  </si>
  <si>
    <t>Spread chicken litter and dry fertilizer</t>
  </si>
  <si>
    <t>Spray applications</t>
  </si>
  <si>
    <t>Highboy sprayer SP, 80-100' boom, 600-800 gal</t>
  </si>
  <si>
    <t>Move liquid fertilizer</t>
  </si>
  <si>
    <t>Nurse tank trailer, 1600 gal</t>
  </si>
  <si>
    <t>Strip till &amp; plant in one pass</t>
  </si>
  <si>
    <t>Tractor, 375-399 hp</t>
  </si>
  <si>
    <t>Strip till tool, 12-row, 3-pt, integral</t>
  </si>
  <si>
    <t>Planter, integral, 12-row, 30" - 36" rows</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</si>
  <si>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</si>
  <si>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</si>
  <si>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</si>
  <si>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</si>
  <si>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</si>
  <si>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</si>
  <si>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</si>
  <si>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</si>
  <si>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</si>
  <si>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</si>
  <si>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</si>
  <si>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</si>
  <si>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</si>
  <si>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</si>
  <si>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</si>
  <si>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</si>
  <si>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</si>
  <si>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</si>
  <si>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</si>
  <si>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</si>
  <si>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</si>
  <si>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</si>
  <si>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</si>
  <si>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</si>
  <si>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</si>
  <si>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</si>
  <si>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</si>
  <si>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</si>
  <si>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</si>
  <si>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</si>
  <si>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</si>
  <si>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</si>
  <si>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</si>
  <si>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</si>
  <si>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</si>
  <si>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</si>
  <si>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</si>
  <si>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</si>
  <si>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</si>
  <si>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</si>
  <si>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</si>
  <si>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</si>
  <si>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</si>
  <si>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</si>
  <si>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</si>
  <si>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</si>
  <si>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</si>
  <si>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</si>
  <si>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</si>
  <si>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</si>
  <si>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</si>
  <si>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</si>
  <si>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</si>
  <si>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</si>
  <si>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</si>
  <si>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</si>
  <si>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</si>
  <si>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</si>
  <si>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</si>
  <si>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</si>
  <si>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</si>
  <si>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</si>
  <si>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</si>
  <si>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</si>
  <si>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</si>
  <si>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</si>
  <si>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</si>
  <si>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</si>
  <si>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</si>
  <si>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</si>
  <si>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</si>
  <si>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</si>
  <si>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</si>
  <si>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</si>
  <si>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</si>
  <si>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</si>
  <si>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</si>
  <si>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</si>
  <si>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</si>
  <si>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</si>
  <si>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</si>
  <si>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</si>
  <si>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</si>
  <si>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</si>
  <si>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</si>
  <si>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</si>
  <si>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</si>
  <si>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</si>
  <si>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</si>
  <si>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</si>
  <si>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</si>
  <si>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</si>
  <si>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</si>
  <si>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</si>
  <si>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</si>
  <si>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</si>
  <si>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</si>
  <si>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</si>
  <si>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</si>
  <si>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</si>
  <si>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</si>
  <si>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</si>
  <si>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</si>
  <si>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</si>
  <si>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</si>
  <si>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</si>
  <si>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</si>
  <si>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</si>
  <si>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</si>
  <si>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</si>
  <si>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</si>
  <si>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</si>
  <si>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</si>
  <si>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</si>
  <si>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</si>
  <si>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</si>
  <si>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</si>
  <si>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</si>
  <si>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</si>
  <si>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</si>
  <si>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</si>
  <si>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</si>
  <si>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</si>
  <si>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</si>
  <si>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</si>
  <si>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</si>
  <si>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</si>
  <si>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</si>
  <si>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</si>
  <si>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</si>
  <si>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</si>
  <si>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</si>
  <si>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</si>
  <si>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</si>
  <si>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</si>
  <si>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</si>
  <si>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</si>
  <si>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</si>
  <si>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</si>
  <si>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</si>
  <si>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</si>
  <si>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</si>
  <si>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</si>
  <si>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</si>
  <si>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</si>
  <si>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</si>
  <si>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</si>
  <si>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</si>
  <si>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</si>
  <si>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</si>
  <si>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</si>
  <si>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</si>
  <si>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</si>
  <si>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</si>
  <si>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</si>
  <si>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</si>
  <si>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</si>
  <si>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</si>
  <si>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</si>
  <si>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</si>
  <si>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</si>
  <si>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</si>
  <si>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</si>
  <si>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</si>
  <si>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</si>
  <si>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</si>
  <si>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</si>
  <si>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</si>
  <si>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</si>
  <si>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</si>
  <si>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</si>
  <si>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</si>
  <si>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</si>
  <si>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</si>
  <si>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</si>
  <si>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</si>
  <si>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</si>
  <si>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</si>
  <si>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</si>
  <si>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</si>
  <si>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</si>
  <si>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</si>
  <si>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</si>
  <si>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</si>
  <si>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</si>
  <si>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</si>
  <si>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</si>
  <si>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</si>
  <si>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</si>
  <si>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</si>
  <si>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</si>
  <si>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</si>
  <si>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</si>
  <si>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</si>
  <si>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</si>
  <si>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</si>
  <si>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</si>
  <si>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</si>
  <si>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</si>
  <si>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</si>
  <si>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</si>
  <si>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</si>
  <si>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</si>
  <si>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</si>
  <si>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</si>
  <si>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</si>
  <si>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</si>
  <si>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</si>
  <si>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</si>
  <si>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</si>
  <si>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</si>
  <si>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</si>
  <si>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</si>
  <si>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</si>
  <si>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</si>
  <si>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</si>
  <si>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</si>
  <si>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</si>
  <si>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</si>
  <si>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</si>
  <si>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</si>
  <si>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</si>
  <si>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</si>
  <si>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</si>
  <si>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</si>
  <si>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</si>
  <si>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</si>
  <si>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</si>
  <si>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</si>
  <si>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</si>
  <si>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</si>
  <si>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</si>
  <si>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</si>
  <si>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</si>
  <si>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</si>
  <si>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</si>
  <si>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</si>
  <si>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</si>
  <si>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</si>
  <si>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</si>
  <si>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</si>
  <si>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</si>
  <si>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</si>
  <si>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</si>
  <si>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</si>
  <si>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</si>
  <si>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</si>
  <si>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</si>
  <si>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</si>
  <si>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</si>
  <si>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</si>
  <si>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</si>
  <si>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</si>
  <si>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</si>
  <si>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</si>
  <si>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</si>
  <si>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</si>
  <si>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</si>
  <si>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</si>
  <si>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</si>
  <si>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</si>
  <si>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</si>
  <si>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</si>
  <si>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</si>
  <si>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</si>
  <si>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</si>
  <si>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</si>
  <si>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</si>
  <si>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</si>
  <si>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</si>
  <si>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</si>
  <si>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</si>
  <si>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</si>
  <si>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</si>
  <si>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</si>
  <si>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</si>
  <si>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</si>
  <si>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</si>
  <si>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</si>
  <si>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</si>
  <si>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</si>
  <si>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</si>
  <si>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</si>
  <si>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</si>
  <si>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</si>
  <si>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</si>
  <si>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</si>
  <si>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</si>
  <si>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</si>
  <si>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</si>
  <si>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</si>
  <si>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</si>
  <si>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</si>
  <si>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</si>
  <si>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</si>
  <si>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</si>
  <si>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</si>
  <si>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</si>
  <si>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</si>
  <si>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</si>
  <si>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</si>
  <si>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</si>
  <si>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</si>
  <si>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</si>
  <si>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</si>
  <si>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</si>
  <si>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</si>
  <si>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</si>
  <si>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</si>
  <si>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</si>
  <si>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</si>
  <si>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</si>
  <si>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</si>
  <si>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</si>
  <si>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</si>
  <si>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</si>
  <si>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</si>
  <si>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</si>
  <si>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</si>
  <si>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</si>
  <si>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</si>
  <si>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</si>
  <si>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</si>
  <si>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</si>
  <si>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</si>
  <si>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</si>
  <si>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</si>
  <si>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</si>
  <si>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</si>
  <si>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</si>
  <si>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</si>
  <si>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</si>
  <si>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</si>
  <si>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</si>
  <si>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</si>
  <si>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</si>
  <si>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</si>
  <si>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</si>
  <si>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</si>
  <si>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</si>
  <si>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</si>
  <si>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</si>
  <si>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</si>
  <si>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300-324 hp</t>
  </si>
  <si>
    <t>Tractor, 325-349 hp</t>
  </si>
  <si>
    <t>Tractor, 350-374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</si>
  <si>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</si>
  <si>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</si>
  <si>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</si>
  <si>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</si>
  <si>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</si>
  <si>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</si>
  <si>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</si>
  <si>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</si>
  <si>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</si>
  <si>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</si>
  <si>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</si>
  <si>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</si>
  <si>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</si>
  <si>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</si>
  <si>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</si>
  <si>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</si>
  <si>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</si>
  <si>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</si>
  <si>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</si>
  <si>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</si>
  <si>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</si>
  <si>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</si>
  <si>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</si>
  <si>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</si>
  <si>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</si>
  <si>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</si>
  <si>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</si>
  <si>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</si>
  <si>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</si>
  <si>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</si>
  <si>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</si>
  <si>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</si>
  <si>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</si>
  <si>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</si>
  <si>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</si>
  <si>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</si>
  <si>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</si>
  <si>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</si>
  <si>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</si>
  <si>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</si>
  <si>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</si>
  <si>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</si>
  <si>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</si>
  <si>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</si>
  <si>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</si>
  <si>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</si>
  <si>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</si>
  <si>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</si>
  <si>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</si>
  <si>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</si>
  <si>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</si>
  <si>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</si>
  <si>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</si>
  <si>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</si>
  <si>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</si>
  <si>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</si>
  <si>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</si>
  <si>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</si>
  <si>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</si>
  <si>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</si>
  <si>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</si>
  <si>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</si>
  <si>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</si>
  <si>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</si>
  <si>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</si>
  <si>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</si>
  <si>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</si>
  <si>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</si>
  <si>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</si>
  <si>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</si>
  <si>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</si>
  <si>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</si>
  <si>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</si>
  <si>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</si>
  <si>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</si>
  <si>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</si>
  <si>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</si>
  <si>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</si>
  <si>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</si>
  <si>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</si>
  <si>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</si>
  <si>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</si>
  <si>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</si>
  <si>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</si>
  <si>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</si>
  <si>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</si>
  <si>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</si>
  <si>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</si>
  <si>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</si>
  <si>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</si>
  <si>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</si>
  <si>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</si>
  <si>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</si>
  <si>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</si>
  <si>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</si>
  <si>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</si>
  <si>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</si>
  <si>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</si>
  <si>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</si>
  <si>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</si>
  <si>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</si>
  <si>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</si>
  <si>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</si>
  <si>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</si>
  <si>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</si>
  <si>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</si>
  <si>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</si>
  <si>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</si>
  <si>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</si>
  <si>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</si>
  <si>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</si>
  <si>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</si>
  <si>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</si>
  <si>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</si>
  <si>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</si>
  <si>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</si>
  <si>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</si>
  <si>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</si>
  <si>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</si>
  <si>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</si>
  <si>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</si>
  <si>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</si>
  <si>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</si>
  <si>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</si>
  <si>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</si>
  <si>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</si>
  <si>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</si>
  <si>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</si>
  <si>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</si>
  <si>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</si>
  <si>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</si>
  <si>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</si>
  <si>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</si>
  <si>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</si>
  <si>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</si>
  <si>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</si>
  <si>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</si>
  <si>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</si>
  <si>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</si>
  <si>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</si>
  <si>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</si>
  <si>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</si>
  <si>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</si>
  <si>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</si>
  <si>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</si>
  <si>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</si>
  <si>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*For number of trips, if only cover part of a field with an operation or if apply every other year, enter a number less than 1 (decimal form):  for example, 0.5 for half the field.</t>
  </si>
  <si>
    <t>Cover crop burndown</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</si>
  <si>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</si>
  <si>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</si>
  <si>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</si>
  <si>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Drive related to irrigation operations</t>
  </si>
  <si>
    <t>Broadcast cover crop seed</t>
  </si>
  <si>
    <t>Incorporate cover crop seed</t>
  </si>
  <si>
    <t>PRODUCTION COSTS</t>
  </si>
  <si>
    <t>per Acre</t>
  </si>
  <si>
    <t>per Field</t>
  </si>
  <si>
    <t>Total Production Cost</t>
  </si>
  <si>
    <t>REVENUES &amp; MARKETING COSTS</t>
  </si>
  <si>
    <t>PROFIT</t>
  </si>
  <si>
    <t>Fixed production cost, not including land</t>
  </si>
  <si>
    <t>Variable production cost, not including land</t>
  </si>
  <si>
    <t>Gross profit (return to management, G&amp;A &amp; profit)</t>
  </si>
  <si>
    <t>Rented</t>
  </si>
  <si>
    <t>Well, pump, panel, controllers</t>
  </si>
  <si>
    <t>Suwannee Valley Irrigated Grain Corn - Strip-Till, Rented Land</t>
  </si>
  <si>
    <t>MATERIAL LISTS</t>
  </si>
  <si>
    <t>Price Date</t>
  </si>
  <si>
    <t>2024 November</t>
  </si>
  <si>
    <t>2025 May</t>
  </si>
  <si>
    <t>2025 - June update</t>
  </si>
  <si>
    <t>Version:  2025</t>
  </si>
  <si>
    <t>OPERATING COST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</si>
</sst>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67">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6" fontId="0" fillId="0" borderId="21" xfId="0" applyNumberFormat="1" applyBorder="1"/>
    <xf numFmtId="6" fontId="1" fillId="0" borderId="25" xfId="0" applyNumberFormat="1" applyFont="1" applyBorder="1"/>
    <xf numFmtId="8" fontId="0" fillId="0" borderId="23" xfId="0" applyNumberFormat="1" applyBorder="1"/>
    <xf numFmtId="8" fontId="0" fillId="0" borderId="1" xfId="0" applyNumberFormat="1" applyBorder="1"/>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0" fontId="1" fillId="2" borderId="1" xfId="0" applyFont="1" applyFill="1" applyBorder="1" applyAlignment="1">
      <alignment horizontal="center" wrapText="1"/>
    </xf>
    <xf numFmtId="164" fontId="0" fillId="0" borderId="10" xfId="0" applyNumberFormat="1" applyBorder="1" applyAlignment="1">
      <alignment horizontal="right"/>
    </xf>
    <xf numFmtId="6" fontId="0" fillId="0" borderId="1" xfId="0" applyNumberFormat="1" applyBorder="1"/>
    <xf numFmtId="0" fontId="1" fillId="0" borderId="0" xfId="0" applyFont="1" applyAlignment="1">
      <alignment horizontal="right"/>
    </xf>
    <xf numFmtId="164" fontId="1" fillId="2" borderId="1" xfId="0" applyNumberFormat="1" applyFont="1" applyFill="1" applyBorder="1" applyAlignment="1">
      <alignment horizontal="right"/>
    </xf>
    <xf numFmtId="165" fontId="1" fillId="2" borderId="1" xfId="0" applyNumberFormat="1" applyFont="1" applyFill="1" applyBorder="1" applyAlignment="1">
      <alignment horizontal="right"/>
    </xf>
    <xf numFmtId="164" fontId="1" fillId="2" borderId="1" xfId="0" applyNumberFormat="1" applyFont="1" applyFill="1" applyBorder="1"/>
    <xf numFmtId="165" fontId="1" fillId="2" borderId="1" xfId="0" applyNumberFormat="1" applyFont="1" applyFill="1" applyBorder="1"/>
    <xf numFmtId="164" fontId="1" fillId="2" borderId="10" xfId="0" applyNumberFormat="1" applyFont="1" applyFill="1" applyBorder="1" applyAlignment="1">
      <alignment horizontal="right"/>
    </xf>
    <xf numFmtId="165" fontId="1" fillId="2" borderId="10" xfId="0" applyNumberFormat="1" applyFont="1" applyFill="1" applyBorder="1" applyAlignment="1">
      <alignment horizontal="right"/>
    </xf>
    <xf numFmtId="164" fontId="1" fillId="2" borderId="3" xfId="0" applyNumberFormat="1" applyFont="1" applyFill="1" applyBorder="1" applyAlignment="1">
      <alignment horizontal="right"/>
    </xf>
    <xf numFmtId="165" fontId="1" fillId="2" borderId="3" xfId="0" applyNumberFormat="1" applyFont="1" applyFill="1" applyBorder="1" applyAlignment="1">
      <alignment horizontal="right"/>
    </xf>
    <xf numFmtId="8" fontId="0" fillId="0" borderId="21" xfId="0" applyNumberFormat="1" applyBorder="1"/>
    <xf numFmtId="8" fontId="1" fillId="0" borderId="25" xfId="0" applyNumberFormat="1" applyFont="1" applyBorder="1"/>
    <xf numFmtId="6" fontId="0" fillId="0" borderId="23" xfId="0" applyNumberFormat="1" applyBorder="1"/>
    <xf numFmtId="6" fontId="1" fillId="0" borderId="8" xfId="0" applyNumberFormat="1" applyFont="1" applyBorder="1"/>
    <xf numFmtId="8" fontId="1" fillId="0" borderId="8" xfId="0" applyNumberFormat="1" applyFon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5" fillId="3" borderId="14" xfId="0" applyFont="1" applyFill="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0" fillId="0" borderId="1" xfId="0" applyBorder="1"/>
    <xf numFmtId="0" fontId="1" fillId="0" borderId="8" xfId="0" applyFont="1" applyBorder="1"/>
    <xf numFmtId="0" fontId="1" fillId="2" borderId="1" xfId="0" applyFont="1" applyFill="1" applyBorder="1"/>
    <xf numFmtId="0" fontId="0" fillId="0" borderId="6" xfId="0" applyBorder="1" applyAlignment="1">
      <alignment wrapText="1"/>
    </xf>
    <xf numFmtId="0" fontId="0" fillId="0" borderId="33" xfId="0" applyBorder="1" applyAlignment="1">
      <alignment wrapText="1"/>
    </xf>
    <xf numFmtId="0" fontId="0" fillId="0" borderId="21"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0" borderId="22" xfId="0" applyBorder="1" applyAlignment="1">
      <alignment wrapText="1"/>
    </xf>
    <xf numFmtId="0" fontId="0" fillId="0" borderId="2" xfId="0" applyBorder="1" applyAlignment="1">
      <alignment wrapText="1"/>
    </xf>
    <xf numFmtId="0" fontId="0" fillId="0" borderId="13" xfId="0" applyBorder="1" applyAlignment="1">
      <alignment wrapText="1"/>
    </xf>
    <xf numFmtId="0" fontId="1" fillId="0" borderId="2" xfId="0" applyFont="1" applyBorder="1"/>
    <xf numFmtId="0" fontId="1" fillId="0" borderId="26" xfId="0" applyFont="1" applyBorder="1" applyAlignment="1">
      <alignment horizontal="center"/>
    </xf>
    <xf numFmtId="0" fontId="1" fillId="0" borderId="23" xfId="0" applyFont="1" applyBorder="1" applyAlignment="1">
      <alignment horizontal="center"/>
    </xf>
    <xf numFmtId="0" fontId="6" fillId="0" borderId="15" xfId="0" applyFont="1" applyBorder="1"/>
    <xf numFmtId="0" fontId="7" fillId="0" borderId="0" xfId="0" applyFont="1"/>
    <xf numFmtId="0" fontId="9" fillId="2" borderId="18" xfId="0" applyFont="1" applyFill="1" applyBorder="1"/>
    <xf numFmtId="0" fontId="1" fillId="4" borderId="4" xfId="0" applyFont="1" applyFill="1" applyBorder="1"/>
    <xf numFmtId="0" fontId="1" fillId="4" borderId="9"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6" xfId="0" applyBorder="1" applyProtection="1">
      <protection locked="0"/>
    </xf>
    <xf numFmtId="0" fontId="1" fillId="4" borderId="22" xfId="0" applyFont="1" applyFill="1" applyBorder="1"/>
    <xf numFmtId="0" fontId="1" fillId="4" borderId="2" xfId="0" applyFont="1" applyFill="1" applyBorder="1"/>
    <xf numFmtId="0" fontId="2" fillId="2" borderId="1" xfId="0" applyFont="1" applyFill="1" applyBorder="1"/>
    <xf numFmtId="0" fontId="1" fillId="4" borderId="13" xfId="0"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4" borderId="10" xfId="0" applyFont="1" applyFill="1" applyBorder="1"/>
    <xf numFmtId="0" fontId="1" fillId="2" borderId="1" xfId="0" applyFont="1" applyFill="1" applyBorder="1" applyAlignment="1">
      <alignment horizontal="right"/>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8"/>
      <c r="C1" s="208"/>
      <c r="D1" s="208"/>
    </row>
    <row r="2" spans="2:4" ht="19.5" thickBot="1" x14ac:dyDescent="0.35">
      <c r="B2" s="209" t="s">
        <v>0</v>
      </c>
      <c r="C2" s="209"/>
      <c r="D2" s="209"/>
    </row>
    <row r="3" spans="2:4" ht="15.75" thickTop="1" x14ac:dyDescent="0.25">
      <c r="B3" t="s">
        <v>660</v>
      </c>
    </row>
    <row r="5" spans="2:4" x14ac:dyDescent="0.25">
      <c r="B5" s="3" t="s">
        <v>1</v>
      </c>
    </row>
    <row r="6" spans="2:4" x14ac:dyDescent="0.25">
      <c r="B6" s="205" t="s">
        <v>2</v>
      </c>
      <c r="C6" s="205"/>
      <c r="D6" s="205"/>
    </row>
    <row r="7" spans="2:4" x14ac:dyDescent="0.25">
      <c r="B7" s="205"/>
      <c r="C7" s="205"/>
      <c r="D7" s="205"/>
    </row>
    <row r="9" spans="2:4" x14ac:dyDescent="0.25">
      <c r="B9" s="3" t="s">
        <v>3</v>
      </c>
    </row>
    <row r="10" spans="2:4" x14ac:dyDescent="0.25">
      <c r="B10" s="208" t="s">
        <v>4</v>
      </c>
      <c r="C10" s="208"/>
      <c r="D10" s="208"/>
    </row>
    <row r="11" spans="2:4" x14ac:dyDescent="0.25">
      <c r="B11" s="208" t="s">
        <v>5</v>
      </c>
      <c r="C11" s="208"/>
      <c r="D11" s="208"/>
    </row>
    <row r="16" spans="2:4" x14ac:dyDescent="0.25">
      <c r="B16" s="3" t="s">
        <v>6</v>
      </c>
    </row>
    <row r="17" spans="2:4" x14ac:dyDescent="0.25">
      <c r="B17" s="205" t="s">
        <v>7</v>
      </c>
      <c r="C17" s="205"/>
      <c r="D17" s="205"/>
    </row>
    <row r="18" spans="2:4" x14ac:dyDescent="0.25">
      <c r="B18" s="205"/>
      <c r="C18" s="205"/>
      <c r="D18" s="205"/>
    </row>
    <row r="19" spans="2:4" x14ac:dyDescent="0.25">
      <c r="B19" s="205"/>
      <c r="C19" s="205"/>
      <c r="D19" s="205"/>
    </row>
    <row r="20" spans="2:4" x14ac:dyDescent="0.25">
      <c r="B20" s="205"/>
      <c r="C20" s="205"/>
      <c r="D20" s="205"/>
    </row>
    <row r="22" spans="2:4" x14ac:dyDescent="0.25">
      <c r="B22" s="3" t="s">
        <v>8</v>
      </c>
    </row>
    <row r="23" spans="2:4" ht="14.45" customHeight="1" x14ac:dyDescent="0.25">
      <c r="B23" s="205" t="s">
        <v>9</v>
      </c>
      <c r="C23" s="205"/>
      <c r="D23" s="205"/>
    </row>
    <row r="24" spans="2:4" x14ac:dyDescent="0.25">
      <c r="B24" s="205"/>
      <c r="C24" s="205"/>
      <c r="D24" s="205"/>
    </row>
    <row r="25" spans="2:4" x14ac:dyDescent="0.25">
      <c r="B25" s="207" t="s">
        <v>10</v>
      </c>
      <c r="C25" s="207"/>
      <c r="D25" s="207"/>
    </row>
    <row r="26" spans="2:4" x14ac:dyDescent="0.25">
      <c r="B26" s="206" t="s">
        <v>11</v>
      </c>
      <c r="C26" s="206"/>
      <c r="D26" s="206"/>
    </row>
    <row r="27" spans="2:4" x14ac:dyDescent="0.25">
      <c r="B27" s="206"/>
      <c r="C27" s="206"/>
      <c r="D27" s="206"/>
    </row>
    <row r="28" spans="2:4" x14ac:dyDescent="0.25">
      <c r="B28" s="207" t="s">
        <v>12</v>
      </c>
      <c r="C28" s="207"/>
      <c r="D28" s="207"/>
    </row>
    <row r="29" spans="2:4" x14ac:dyDescent="0.25">
      <c r="B29" s="205" t="s">
        <v>13</v>
      </c>
      <c r="C29" s="205"/>
      <c r="D29" s="205"/>
    </row>
    <row r="30" spans="2:4" x14ac:dyDescent="0.25">
      <c r="B30" s="205"/>
      <c r="C30" s="205"/>
      <c r="D30" s="205"/>
    </row>
    <row r="31" spans="2:4" x14ac:dyDescent="0.25">
      <c r="B31" s="205"/>
      <c r="C31" s="205"/>
      <c r="D31" s="205"/>
    </row>
    <row r="32" spans="2:4" x14ac:dyDescent="0.25">
      <c r="B32" s="205"/>
      <c r="C32" s="205"/>
      <c r="D32" s="205"/>
    </row>
    <row r="33" spans="2:4" x14ac:dyDescent="0.25">
      <c r="B33" s="205"/>
      <c r="C33" s="205"/>
      <c r="D33" s="205"/>
    </row>
    <row r="34" spans="2:4" x14ac:dyDescent="0.25">
      <c r="B34" s="205"/>
      <c r="C34" s="205"/>
      <c r="D34" s="205"/>
    </row>
    <row r="35" spans="2:4" x14ac:dyDescent="0.25">
      <c r="B35" s="205"/>
      <c r="C35" s="205"/>
      <c r="D35" s="205"/>
    </row>
    <row r="36" spans="2:4" x14ac:dyDescent="0.25">
      <c r="B36" s="3" t="s">
        <v>14</v>
      </c>
    </row>
    <row r="37" spans="2:4" x14ac:dyDescent="0.25">
      <c r="B37" s="205" t="s">
        <v>15</v>
      </c>
      <c r="C37" s="205"/>
      <c r="D37" s="205"/>
    </row>
    <row r="38" spans="2:4" x14ac:dyDescent="0.25">
      <c r="B38" s="205"/>
      <c r="C38" s="205"/>
      <c r="D38" s="205"/>
    </row>
    <row r="39" spans="2:4" x14ac:dyDescent="0.25">
      <c r="B39" s="205"/>
      <c r="C39" s="205"/>
      <c r="D39" s="205"/>
    </row>
    <row r="40" spans="2:4" x14ac:dyDescent="0.25">
      <c r="B40" s="205"/>
      <c r="C40" s="205"/>
      <c r="D40" s="205"/>
    </row>
    <row r="41" spans="2:4" x14ac:dyDescent="0.25">
      <c r="B41" s="205"/>
      <c r="C41" s="205"/>
      <c r="D41" s="205"/>
    </row>
    <row r="42" spans="2:4" x14ac:dyDescent="0.25">
      <c r="B42" s="205"/>
      <c r="C42" s="205"/>
      <c r="D42" s="205"/>
    </row>
    <row r="43" spans="2:4" x14ac:dyDescent="0.25">
      <c r="B43" s="205"/>
      <c r="C43" s="205"/>
      <c r="D43" s="205"/>
    </row>
    <row r="44" spans="2:4" x14ac:dyDescent="0.25">
      <c r="B44" s="205"/>
      <c r="C44" s="205"/>
      <c r="D44" s="205"/>
    </row>
    <row r="45" spans="2:4" x14ac:dyDescent="0.25">
      <c r="B45" s="205"/>
      <c r="C45" s="205"/>
      <c r="D45" s="205"/>
    </row>
    <row r="46" spans="2:4" x14ac:dyDescent="0.25">
      <c r="B46" s="205"/>
      <c r="C46" s="205"/>
      <c r="D46" s="205"/>
    </row>
    <row r="47" spans="2:4" x14ac:dyDescent="0.25">
      <c r="B47" s="205"/>
      <c r="C47" s="205"/>
      <c r="D47" s="205"/>
    </row>
    <row r="48" spans="2:4" x14ac:dyDescent="0.25">
      <c r="B48" s="205"/>
      <c r="C48" s="205"/>
      <c r="D48" s="205"/>
    </row>
    <row r="49" spans="2:4" x14ac:dyDescent="0.25">
      <c r="B49" s="205"/>
      <c r="C49" s="205"/>
      <c r="D49" s="205"/>
    </row>
    <row r="50" spans="2:4" x14ac:dyDescent="0.25">
      <c r="B50" s="205"/>
      <c r="C50" s="205"/>
      <c r="D50" s="205"/>
    </row>
    <row r="51" spans="2:4" x14ac:dyDescent="0.25">
      <c r="B51" s="3" t="s">
        <v>16</v>
      </c>
    </row>
    <row r="52" spans="2:4" x14ac:dyDescent="0.25">
      <c r="B52" s="205" t="s">
        <v>17</v>
      </c>
      <c r="C52" s="205"/>
      <c r="D52" s="205"/>
    </row>
    <row r="53" spans="2:4" x14ac:dyDescent="0.25">
      <c r="B53" s="205"/>
      <c r="C53" s="205"/>
      <c r="D53" s="205"/>
    </row>
  </sheetData>
  <sheetProtection algorithmName="SHA-512" hashValue="2eYlPZX8AZ1Eju1InnOj7rX4r9VxwiAHKITGDxLpG3/sSwdGccrc2I+D4CTQfv8iRtR1l6IvihB7BraPIhClbQ==" saltValue="8sNlVrzbY72Fwm+Eq54jFw=="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66" t="s">
        <v>590</v>
      </c>
      <c r="C1" s="266"/>
      <c r="D1" s="266"/>
      <c r="E1" s="266"/>
      <c r="F1" s="266"/>
      <c r="G1" s="266"/>
    </row>
    <row r="3" spans="2:10" x14ac:dyDescent="0.25">
      <c r="B3" s="3" t="s">
        <v>591</v>
      </c>
      <c r="F3" s="3"/>
    </row>
    <row r="4" spans="2:10" x14ac:dyDescent="0.25">
      <c r="B4" s="206" t="s">
        <v>592</v>
      </c>
      <c r="C4" s="206"/>
      <c r="D4" s="206"/>
      <c r="E4" s="206"/>
      <c r="F4" s="206"/>
      <c r="G4" s="206"/>
    </row>
    <row r="5" spans="2:10" x14ac:dyDescent="0.25">
      <c r="B5" s="206"/>
      <c r="C5" s="206"/>
      <c r="D5" s="206"/>
      <c r="E5" s="206"/>
      <c r="F5" s="206"/>
      <c r="G5" s="206"/>
    </row>
    <row r="6" spans="2:10" x14ac:dyDescent="0.25">
      <c r="B6" s="61" t="s">
        <v>456</v>
      </c>
      <c r="C6" s="52" t="s">
        <v>593</v>
      </c>
      <c r="D6" s="52" t="s">
        <v>594</v>
      </c>
      <c r="E6" s="52" t="s">
        <v>595</v>
      </c>
      <c r="F6" s="52" t="s">
        <v>596</v>
      </c>
      <c r="G6" s="52" t="s">
        <v>597</v>
      </c>
      <c r="J6" s="58"/>
    </row>
    <row r="7" spans="2:10" x14ac:dyDescent="0.25">
      <c r="B7" s="1" t="s">
        <v>598</v>
      </c>
      <c r="C7" s="59">
        <v>1.1319999999999999</v>
      </c>
      <c r="D7" s="59">
        <v>0.16500000000000001</v>
      </c>
      <c r="E7" s="59">
        <v>7.9000000000000008E-3</v>
      </c>
      <c r="F7" s="59">
        <v>0.12</v>
      </c>
      <c r="G7" s="60">
        <v>2.2999999999999998</v>
      </c>
    </row>
    <row r="8" spans="2:10" x14ac:dyDescent="0.25">
      <c r="B8" s="1" t="s">
        <v>469</v>
      </c>
      <c r="C8" s="59">
        <v>1.1319999999999999</v>
      </c>
      <c r="D8" s="59">
        <v>0.16500000000000001</v>
      </c>
      <c r="E8" s="59">
        <v>7.9000000000000008E-3</v>
      </c>
      <c r="F8" s="59">
        <v>0.04</v>
      </c>
      <c r="G8" s="60">
        <v>2.1</v>
      </c>
    </row>
    <row r="9" spans="2:10" x14ac:dyDescent="0.25">
      <c r="B9" s="1" t="s">
        <v>599</v>
      </c>
      <c r="C9" s="59">
        <v>1.1319999999999999</v>
      </c>
      <c r="D9" s="59">
        <v>0.16500000000000001</v>
      </c>
      <c r="E9" s="59">
        <v>7.9000000000000008E-3</v>
      </c>
      <c r="F9" s="59">
        <v>0.11</v>
      </c>
      <c r="G9" s="60">
        <v>1.8</v>
      </c>
    </row>
    <row r="10" spans="2:10" x14ac:dyDescent="0.25">
      <c r="B10" s="1" t="s">
        <v>505</v>
      </c>
      <c r="C10" s="59">
        <v>0.89100000000000001</v>
      </c>
      <c r="D10" s="59">
        <v>0.11</v>
      </c>
      <c r="E10" s="59">
        <v>0</v>
      </c>
      <c r="F10" s="59">
        <v>0.18</v>
      </c>
      <c r="G10" s="60">
        <v>1.7</v>
      </c>
    </row>
    <row r="11" spans="2:10" x14ac:dyDescent="0.25">
      <c r="B11" s="1" t="s">
        <v>527</v>
      </c>
      <c r="C11" s="59">
        <v>0.89100000000000001</v>
      </c>
      <c r="D11" s="59">
        <v>0.11</v>
      </c>
      <c r="E11" s="59">
        <v>0</v>
      </c>
      <c r="F11" s="59">
        <v>0.27</v>
      </c>
      <c r="G11" s="60">
        <v>1.4</v>
      </c>
    </row>
    <row r="12" spans="2:10" x14ac:dyDescent="0.25">
      <c r="B12" s="1" t="s">
        <v>600</v>
      </c>
      <c r="C12" s="59">
        <v>0.79100000000000004</v>
      </c>
      <c r="D12" s="59">
        <v>9.0999999999999998E-2</v>
      </c>
      <c r="E12" s="59">
        <v>0</v>
      </c>
      <c r="F12" s="59">
        <v>0.15</v>
      </c>
      <c r="G12" s="60">
        <v>1.6</v>
      </c>
    </row>
    <row r="13" spans="2:10" x14ac:dyDescent="0.25">
      <c r="B13" s="1" t="s">
        <v>601</v>
      </c>
      <c r="C13" s="59">
        <v>0.79100000000000004</v>
      </c>
      <c r="D13" s="59">
        <v>9.0999999999999998E-2</v>
      </c>
      <c r="E13" s="59">
        <v>0</v>
      </c>
      <c r="F13" s="59">
        <v>0.03</v>
      </c>
      <c r="G13" s="60">
        <v>2</v>
      </c>
    </row>
    <row r="14" spans="2:10" x14ac:dyDescent="0.25">
      <c r="B14" s="1" t="s">
        <v>602</v>
      </c>
      <c r="C14" s="59">
        <v>0.78600000000000003</v>
      </c>
      <c r="D14" s="59">
        <v>6.3E-2</v>
      </c>
      <c r="E14" s="59">
        <v>3.3E-3</v>
      </c>
      <c r="F14" s="59">
        <v>0.16</v>
      </c>
      <c r="G14" s="60">
        <v>1.6</v>
      </c>
    </row>
    <row r="15" spans="2:10" x14ac:dyDescent="0.25">
      <c r="B15" s="1" t="s">
        <v>535</v>
      </c>
      <c r="C15" s="59">
        <v>0.88300000000000001</v>
      </c>
      <c r="D15" s="59">
        <v>7.8E-2</v>
      </c>
      <c r="E15" s="59">
        <v>0</v>
      </c>
      <c r="F15" s="59">
        <v>0.32</v>
      </c>
      <c r="G15" s="60">
        <v>2.1</v>
      </c>
    </row>
    <row r="16" spans="2:10" x14ac:dyDescent="0.25">
      <c r="B16" s="1" t="s">
        <v>603</v>
      </c>
      <c r="C16" s="59">
        <v>0.85199999999999998</v>
      </c>
      <c r="D16" s="59">
        <v>0.10100000000000001</v>
      </c>
      <c r="E16" s="59">
        <v>0</v>
      </c>
      <c r="F16" s="59">
        <v>0.43</v>
      </c>
      <c r="G16" s="60">
        <v>1.8</v>
      </c>
    </row>
    <row r="17" spans="2:7" x14ac:dyDescent="0.25">
      <c r="B17" s="1" t="s">
        <v>604</v>
      </c>
      <c r="C17" s="59">
        <v>0.85199999999999998</v>
      </c>
      <c r="D17" s="59">
        <v>0.10100000000000001</v>
      </c>
      <c r="E17" s="59">
        <v>0</v>
      </c>
      <c r="F17" s="59">
        <v>0.23</v>
      </c>
      <c r="G17" s="60">
        <v>1.8</v>
      </c>
    </row>
    <row r="18" spans="2:7" x14ac:dyDescent="0.25">
      <c r="B18" s="1" t="s">
        <v>605</v>
      </c>
      <c r="C18" s="59">
        <v>0.79100000000000004</v>
      </c>
      <c r="D18" s="59">
        <v>9.0999999999999998E-2</v>
      </c>
      <c r="E18" s="59">
        <v>0</v>
      </c>
      <c r="F18" s="59">
        <v>0.17</v>
      </c>
      <c r="G18" s="60">
        <v>1.4</v>
      </c>
    </row>
    <row r="19" spans="2:7" x14ac:dyDescent="0.25">
      <c r="B19" s="1" t="s">
        <v>606</v>
      </c>
      <c r="C19" s="59">
        <v>0.75600000000000001</v>
      </c>
      <c r="D19" s="59">
        <v>6.7000000000000004E-2</v>
      </c>
      <c r="E19" s="59">
        <v>0</v>
      </c>
      <c r="F19" s="59">
        <v>0.46</v>
      </c>
      <c r="G19" s="60">
        <v>1.7</v>
      </c>
    </row>
    <row r="20" spans="2:7" x14ac:dyDescent="0.25">
      <c r="B20" s="1" t="s">
        <v>607</v>
      </c>
      <c r="C20" s="59">
        <v>0.75600000000000001</v>
      </c>
      <c r="D20" s="59">
        <v>6.7000000000000004E-2</v>
      </c>
      <c r="E20" s="59">
        <v>0</v>
      </c>
      <c r="F20" s="59">
        <v>0.44</v>
      </c>
      <c r="G20" s="60">
        <v>2</v>
      </c>
    </row>
    <row r="21" spans="2:7" x14ac:dyDescent="0.25">
      <c r="B21" s="1" t="s">
        <v>608</v>
      </c>
      <c r="C21" s="59">
        <v>0.75600000000000001</v>
      </c>
      <c r="D21" s="59">
        <v>6.7000000000000004E-2</v>
      </c>
      <c r="E21" s="59">
        <v>0</v>
      </c>
      <c r="F21" s="59">
        <v>0.18</v>
      </c>
      <c r="G21" s="60">
        <v>1.6</v>
      </c>
    </row>
    <row r="22" spans="2:7" x14ac:dyDescent="0.25">
      <c r="B22" s="1" t="s">
        <v>609</v>
      </c>
      <c r="C22" s="59">
        <v>0.75600000000000001</v>
      </c>
      <c r="D22" s="59">
        <v>6.7000000000000004E-2</v>
      </c>
      <c r="E22" s="59">
        <v>0</v>
      </c>
      <c r="F22" s="59">
        <v>0.16</v>
      </c>
      <c r="G22" s="60">
        <v>2</v>
      </c>
    </row>
    <row r="23" spans="2:7" x14ac:dyDescent="0.25">
      <c r="B23" s="1" t="s">
        <v>495</v>
      </c>
      <c r="C23" s="59">
        <v>0.79100000000000004</v>
      </c>
      <c r="D23" s="59">
        <v>9.0999999999999998E-2</v>
      </c>
      <c r="E23" s="59">
        <v>0</v>
      </c>
      <c r="F23" s="59">
        <v>0.14000000000000001</v>
      </c>
      <c r="G23" s="60">
        <v>2.2999999999999998</v>
      </c>
    </row>
    <row r="24" spans="2:7" x14ac:dyDescent="0.25">
      <c r="B24" s="1" t="s">
        <v>539</v>
      </c>
      <c r="C24" s="59">
        <v>0.88300000000000001</v>
      </c>
      <c r="D24" s="59">
        <v>7.8E-2</v>
      </c>
      <c r="E24" s="59">
        <v>0</v>
      </c>
      <c r="F24" s="59">
        <v>0.32</v>
      </c>
      <c r="G24" s="60">
        <v>2.1</v>
      </c>
    </row>
    <row r="25" spans="2:7" x14ac:dyDescent="0.25">
      <c r="B25" s="1" t="s">
        <v>550</v>
      </c>
      <c r="C25" s="59">
        <v>0.73799999999999999</v>
      </c>
      <c r="D25" s="59">
        <v>5.0999999999999997E-2</v>
      </c>
      <c r="E25" s="59">
        <v>0</v>
      </c>
      <c r="F25" s="59">
        <v>0.28000000000000003</v>
      </c>
      <c r="G25" s="60">
        <v>1.4</v>
      </c>
    </row>
    <row r="26" spans="2:7" x14ac:dyDescent="0.25">
      <c r="B26" s="1" t="s">
        <v>545</v>
      </c>
      <c r="C26" s="59">
        <v>0.73799999999999999</v>
      </c>
      <c r="D26" s="59">
        <v>5.0999999999999997E-2</v>
      </c>
      <c r="E26" s="59">
        <v>0</v>
      </c>
      <c r="F26" s="59">
        <v>0.28999999999999998</v>
      </c>
      <c r="G26" s="60">
        <v>1.8</v>
      </c>
    </row>
    <row r="27" spans="2:7" x14ac:dyDescent="0.25">
      <c r="B27" s="1" t="s">
        <v>501</v>
      </c>
      <c r="C27" s="59">
        <v>0.94299999999999995</v>
      </c>
      <c r="D27" s="59">
        <v>0.111</v>
      </c>
      <c r="E27" s="59">
        <v>0</v>
      </c>
      <c r="F27" s="59">
        <v>0.16</v>
      </c>
      <c r="G27" s="60">
        <v>1.3</v>
      </c>
    </row>
    <row r="28" spans="2:7" x14ac:dyDescent="0.25">
      <c r="B28" s="1" t="s">
        <v>557</v>
      </c>
      <c r="C28" s="59">
        <v>0.89100000000000001</v>
      </c>
      <c r="D28" s="59">
        <v>0.11</v>
      </c>
      <c r="E28" s="59">
        <v>0</v>
      </c>
      <c r="F28" s="59">
        <v>0.17</v>
      </c>
      <c r="G28" s="60">
        <v>2.2000000000000002</v>
      </c>
    </row>
    <row r="29" spans="2:7" x14ac:dyDescent="0.25">
      <c r="B29" s="1" t="s">
        <v>476</v>
      </c>
      <c r="C29" s="59">
        <v>0.94299999999999995</v>
      </c>
      <c r="D29" s="59">
        <v>0.111</v>
      </c>
      <c r="E29" s="59">
        <v>0</v>
      </c>
      <c r="F29" s="59">
        <v>0.41</v>
      </c>
      <c r="G29" s="60">
        <v>1.3</v>
      </c>
    </row>
    <row r="30" spans="2:7" x14ac:dyDescent="0.25">
      <c r="B30" s="1" t="s">
        <v>508</v>
      </c>
      <c r="C30" s="59">
        <v>0.94299999999999995</v>
      </c>
      <c r="D30" s="59">
        <v>0.111</v>
      </c>
      <c r="E30" s="59">
        <v>0</v>
      </c>
      <c r="F30" s="59">
        <v>0.63</v>
      </c>
      <c r="G30" s="60">
        <v>1.3</v>
      </c>
    </row>
    <row r="31" spans="2:7" x14ac:dyDescent="0.25">
      <c r="B31" s="1" t="s">
        <v>610</v>
      </c>
      <c r="C31" s="59">
        <v>0.94299999999999995</v>
      </c>
      <c r="D31" s="59">
        <v>0.111</v>
      </c>
      <c r="E31" s="59">
        <v>0</v>
      </c>
      <c r="F31" s="59">
        <v>0.28000000000000003</v>
      </c>
      <c r="G31" s="60">
        <v>1.4</v>
      </c>
    </row>
    <row r="32" spans="2:7" x14ac:dyDescent="0.25">
      <c r="B32" s="1" t="s">
        <v>611</v>
      </c>
      <c r="C32" s="59">
        <v>0.94199999999999995</v>
      </c>
      <c r="D32" s="59">
        <v>0.1</v>
      </c>
      <c r="E32" s="59">
        <v>8.0000000000000004E-4</v>
      </c>
      <c r="F32" s="59">
        <v>3.0000000000000001E-3</v>
      </c>
      <c r="G32" s="60">
        <v>2</v>
      </c>
    </row>
    <row r="33" spans="2:9" x14ac:dyDescent="0.25">
      <c r="B33" s="1" t="s">
        <v>482</v>
      </c>
      <c r="C33" s="59">
        <v>0.97599999999999998</v>
      </c>
      <c r="D33" s="59">
        <v>0.11899999999999999</v>
      </c>
      <c r="E33" s="59">
        <v>1.9E-3</v>
      </c>
      <c r="F33" s="59">
        <v>3.0000000000000001E-3</v>
      </c>
      <c r="G33" s="60">
        <v>2</v>
      </c>
    </row>
    <row r="34" spans="2:9" x14ac:dyDescent="0.25">
      <c r="B34" s="1" t="s">
        <v>531</v>
      </c>
      <c r="C34" s="59">
        <v>0.78600000000000003</v>
      </c>
      <c r="D34" s="59">
        <v>6.3E-2</v>
      </c>
      <c r="E34" s="59">
        <v>3.3E-3</v>
      </c>
      <c r="F34" s="59">
        <v>0.19</v>
      </c>
      <c r="G34" s="60">
        <v>1.3</v>
      </c>
    </row>
    <row r="35" spans="2:9" x14ac:dyDescent="0.25">
      <c r="B35" s="1" t="s">
        <v>612</v>
      </c>
      <c r="C35" s="59">
        <v>0.79100000000000004</v>
      </c>
      <c r="D35" s="59">
        <v>9.0999999999999998E-2</v>
      </c>
      <c r="E35" s="59">
        <v>0</v>
      </c>
      <c r="F35" s="59">
        <v>0.06</v>
      </c>
      <c r="G35" s="60">
        <v>2</v>
      </c>
    </row>
    <row r="37" spans="2:9" x14ac:dyDescent="0.25">
      <c r="B37" s="3" t="s">
        <v>613</v>
      </c>
    </row>
    <row r="38" spans="2:9" x14ac:dyDescent="0.25">
      <c r="B38" s="206" t="s">
        <v>614</v>
      </c>
      <c r="C38" s="206"/>
      <c r="D38" s="206"/>
      <c r="E38" s="206"/>
      <c r="F38" s="206"/>
      <c r="G38" s="206"/>
      <c r="H38" s="206"/>
      <c r="I38" s="206"/>
    </row>
    <row r="39" spans="2:9" x14ac:dyDescent="0.25">
      <c r="B39" s="206"/>
      <c r="C39" s="206"/>
      <c r="D39" s="206"/>
      <c r="E39" s="206"/>
      <c r="F39" s="206"/>
      <c r="G39" s="206"/>
      <c r="H39" s="206"/>
      <c r="I39" s="206"/>
    </row>
    <row r="40" spans="2:9" x14ac:dyDescent="0.25">
      <c r="B40" s="265" t="s">
        <v>615</v>
      </c>
      <c r="C40" s="265"/>
      <c r="D40" s="265"/>
      <c r="E40" s="265"/>
      <c r="F40" s="265"/>
      <c r="G40" s="265"/>
      <c r="H40" s="265"/>
      <c r="I40" s="265"/>
    </row>
    <row r="41" spans="2:9" x14ac:dyDescent="0.25">
      <c r="B41" s="3"/>
      <c r="C41" s="264" t="s">
        <v>616</v>
      </c>
      <c r="D41" s="264"/>
      <c r="E41" s="264"/>
      <c r="F41" s="264"/>
      <c r="G41" s="264"/>
      <c r="H41" s="264"/>
      <c r="I41" s="264"/>
    </row>
    <row r="42" spans="2:9" x14ac:dyDescent="0.25">
      <c r="B42" s="54" t="s">
        <v>617</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618</v>
      </c>
      <c r="C53" s="11"/>
      <c r="D53" s="11"/>
      <c r="E53" s="11"/>
      <c r="F53" s="11"/>
      <c r="G53" s="11"/>
      <c r="H53" s="23"/>
      <c r="I53" s="23"/>
    </row>
    <row r="54" spans="2:9" x14ac:dyDescent="0.25">
      <c r="B54" s="3"/>
      <c r="C54" s="264" t="s">
        <v>616</v>
      </c>
      <c r="D54" s="264"/>
      <c r="E54" s="264"/>
      <c r="F54" s="264"/>
      <c r="G54" s="264"/>
      <c r="H54" s="264"/>
      <c r="I54" s="264"/>
    </row>
    <row r="55" spans="2:9" x14ac:dyDescent="0.25">
      <c r="B55" s="54" t="s">
        <v>617</v>
      </c>
      <c r="C55" s="6">
        <v>10</v>
      </c>
      <c r="D55" s="6">
        <v>20</v>
      </c>
      <c r="E55" s="6">
        <v>30</v>
      </c>
      <c r="F55" s="6">
        <v>40</v>
      </c>
      <c r="G55" s="6">
        <v>50</v>
      </c>
      <c r="H55" s="6">
        <v>60</v>
      </c>
      <c r="I55" s="6">
        <v>80</v>
      </c>
    </row>
    <row r="56" spans="2:9" x14ac:dyDescent="0.25">
      <c r="B56" s="55">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5">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5">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5">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5">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5">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5">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5">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5">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4.7109375" customWidth="1"/>
  </cols>
  <sheetData>
    <row r="1" spans="2:8" x14ac:dyDescent="0.25">
      <c r="B1" s="208"/>
      <c r="C1" s="208"/>
      <c r="D1" s="208"/>
      <c r="E1" s="208"/>
      <c r="F1" s="208"/>
      <c r="G1" s="208"/>
    </row>
    <row r="2" spans="2:8" ht="19.5" thickBot="1" x14ac:dyDescent="0.35">
      <c r="B2" s="209" t="s">
        <v>18</v>
      </c>
      <c r="C2" s="209"/>
      <c r="D2" s="209"/>
      <c r="E2" s="209"/>
      <c r="F2" s="209"/>
      <c r="G2" s="209"/>
      <c r="H2" s="9"/>
    </row>
    <row r="3" spans="2:8" ht="19.5" thickTop="1" x14ac:dyDescent="0.3">
      <c r="B3" s="233" t="str">
        <f>FieldBudgetProfile!C3</f>
        <v>Suwannee Valley Irrigated Grain Corn - Strip-Till, Rented Land</v>
      </c>
      <c r="C3" s="233"/>
      <c r="D3" s="233"/>
      <c r="E3" s="233"/>
      <c r="F3" s="233"/>
      <c r="G3" s="233"/>
      <c r="H3" s="9"/>
    </row>
    <row r="4" spans="2:8" x14ac:dyDescent="0.25">
      <c r="B4" s="234" t="str">
        <f>"Version:"&amp;" "&amp;FieldBudgetProfile!C4</f>
        <v>Version: 2025 - June update</v>
      </c>
      <c r="C4" s="234"/>
      <c r="D4" s="234"/>
      <c r="E4" s="234"/>
      <c r="F4" s="234"/>
      <c r="G4" s="234"/>
    </row>
    <row r="5" spans="2:8" x14ac:dyDescent="0.25">
      <c r="B5" s="221" t="s">
        <v>19</v>
      </c>
      <c r="C5" s="221"/>
      <c r="D5" s="221" t="s">
        <v>20</v>
      </c>
      <c r="E5" s="221"/>
      <c r="F5" s="8" t="str">
        <f>"Yield ("&amp;YieldUnit_Abbrev&amp;"/acre)"</f>
        <v>Yield (bu/acre)</v>
      </c>
      <c r="G5" s="8" t="s">
        <v>21</v>
      </c>
    </row>
    <row r="6" spans="2:8" x14ac:dyDescent="0.25">
      <c r="B6" s="219" t="str">
        <f>FieldBudgetProfile!B8</f>
        <v>Field corn for grain</v>
      </c>
      <c r="C6" s="219"/>
      <c r="D6" s="219" t="str">
        <f>FieldBudgetProfile!C8</f>
        <v>Irrigated sandy soil</v>
      </c>
      <c r="E6" s="219"/>
      <c r="F6" s="1">
        <f>YieldPerAcre</f>
        <v>210</v>
      </c>
      <c r="G6" s="1">
        <f>Planted_Acres</f>
        <v>140</v>
      </c>
    </row>
    <row r="7" spans="2:8" x14ac:dyDescent="0.25">
      <c r="B7" s="208"/>
      <c r="C7" s="208"/>
      <c r="D7" s="208"/>
      <c r="E7" s="208"/>
    </row>
    <row r="8" spans="2:8" x14ac:dyDescent="0.25">
      <c r="B8" s="3" t="s">
        <v>643</v>
      </c>
      <c r="E8" s="191" t="s">
        <v>644</v>
      </c>
      <c r="F8" s="191" t="str">
        <f>"per"&amp;" "&amp;YieldUnit</f>
        <v>per Bushel</v>
      </c>
      <c r="G8" s="191" t="s">
        <v>645</v>
      </c>
    </row>
    <row r="9" spans="2:8" x14ac:dyDescent="0.25">
      <c r="B9" s="221" t="s">
        <v>22</v>
      </c>
      <c r="C9" s="221"/>
      <c r="D9" s="221"/>
      <c r="E9" s="192">
        <f>SUM(E10:E14)</f>
        <v>709.2908985727629</v>
      </c>
      <c r="F9" s="193">
        <f t="shared" ref="F9:G9" si="0">SUM(F10:F14)</f>
        <v>3.3775757074893469</v>
      </c>
      <c r="G9" s="192">
        <f t="shared" si="0"/>
        <v>99300.725800186803</v>
      </c>
    </row>
    <row r="10" spans="2:8" x14ac:dyDescent="0.25">
      <c r="B10" s="219" t="s">
        <v>24</v>
      </c>
      <c r="C10" s="219"/>
      <c r="D10" s="219"/>
      <c r="E10" s="82">
        <f>SeedCostPerAcre</f>
        <v>138.75</v>
      </c>
      <c r="F10" s="42">
        <f>IFERROR(E10/YieldPerAcre,"")</f>
        <v>0.6607142857142857</v>
      </c>
      <c r="G10" s="189">
        <f>E10*Planted_Acres</f>
        <v>19425</v>
      </c>
    </row>
    <row r="11" spans="2:8" x14ac:dyDescent="0.25">
      <c r="B11" s="219" t="s">
        <v>25</v>
      </c>
      <c r="C11" s="219"/>
      <c r="D11" s="219"/>
      <c r="E11" s="82">
        <f>FertilizerCostPerAcre</f>
        <v>403.67074232276292</v>
      </c>
      <c r="F11" s="42">
        <f>IFERROR(E11/YieldPerAcre,"")</f>
        <v>1.9222416301083949</v>
      </c>
      <c r="G11" s="189">
        <f>E11*Planted_Acres</f>
        <v>56513.903925186809</v>
      </c>
    </row>
    <row r="12" spans="2:8" x14ac:dyDescent="0.25">
      <c r="B12" s="219" t="s">
        <v>26</v>
      </c>
      <c r="C12" s="219"/>
      <c r="D12" s="219"/>
      <c r="E12" s="82">
        <f>FungicideCostPerAcre+HerbicideCostPerAcre+InsecticideCostPerAcre+NematicideCostPerAcre</f>
        <v>96.057656249999994</v>
      </c>
      <c r="F12" s="42">
        <f>IFERROR(E12/YieldPerAcre,"")</f>
        <v>0.45741741071428571</v>
      </c>
      <c r="G12" s="189">
        <f>E12*Planted_Acres</f>
        <v>13448.071875</v>
      </c>
    </row>
    <row r="13" spans="2:8" x14ac:dyDescent="0.25">
      <c r="B13" s="219" t="s">
        <v>27</v>
      </c>
      <c r="C13" s="219"/>
      <c r="D13" s="219"/>
      <c r="E13" s="82">
        <f>OtherMaterialCostPerAcre</f>
        <v>40.8125</v>
      </c>
      <c r="F13" s="42">
        <f>IFERROR(E13/YieldPerAcre,"")</f>
        <v>0.1943452380952381</v>
      </c>
      <c r="G13" s="189">
        <f>E13*Planted_Acres</f>
        <v>5713.75</v>
      </c>
    </row>
    <row r="14" spans="2:8" x14ac:dyDescent="0.25">
      <c r="B14" s="219" t="s">
        <v>28</v>
      </c>
      <c r="C14" s="219"/>
      <c r="D14" s="219"/>
      <c r="E14" s="82">
        <f>CustomCostPerAcre</f>
        <v>30</v>
      </c>
      <c r="F14" s="42">
        <f>IFERROR(E14/YieldPerAcre,"")</f>
        <v>0.14285714285714285</v>
      </c>
      <c r="G14" s="189">
        <f>E14*Planted_Acres</f>
        <v>4200</v>
      </c>
    </row>
    <row r="15" spans="2:8" x14ac:dyDescent="0.25">
      <c r="B15" s="221" t="s">
        <v>29</v>
      </c>
      <c r="C15" s="221"/>
      <c r="D15" s="221"/>
      <c r="E15" s="192">
        <f>SUM(E16:E20)</f>
        <v>231.43319161227964</v>
      </c>
      <c r="F15" s="193">
        <f t="shared" ref="F15:G15" si="1">SUM(F16:F20)</f>
        <v>1.1020628172013318</v>
      </c>
      <c r="G15" s="192">
        <f t="shared" si="1"/>
        <v>32400.646825719152</v>
      </c>
    </row>
    <row r="16" spans="2:8" x14ac:dyDescent="0.25">
      <c r="B16" s="219" t="s">
        <v>30</v>
      </c>
      <c r="C16" s="219"/>
      <c r="D16" s="219"/>
      <c r="E16" s="82">
        <f>LaborCost_TotalPerAcre</f>
        <v>31.439999975510204</v>
      </c>
      <c r="F16" s="42">
        <f>IFERROR(E16/YieldPerAcre,"")</f>
        <v>0.14971428559766764</v>
      </c>
      <c r="G16" s="189">
        <f>E16*Planted_Acres</f>
        <v>4401.5999965714291</v>
      </c>
    </row>
    <row r="17" spans="2:7" x14ac:dyDescent="0.25">
      <c r="B17" s="219" t="s">
        <v>31</v>
      </c>
      <c r="C17" s="219"/>
      <c r="D17" s="219"/>
      <c r="E17" s="82">
        <f>FuelElectric_TotalPerAcre-E18</f>
        <v>25.5796146968801</v>
      </c>
      <c r="F17" s="42">
        <f>IFERROR(E17/YieldPerAcre,"")</f>
        <v>0.12180768903276237</v>
      </c>
      <c r="G17" s="189">
        <f>E17*Planted_Acres</f>
        <v>3581.1460575632141</v>
      </c>
    </row>
    <row r="18" spans="2:7" x14ac:dyDescent="0.25">
      <c r="B18" s="219" t="s">
        <v>32</v>
      </c>
      <c r="C18" s="219"/>
      <c r="D18" s="219"/>
      <c r="E18" s="82">
        <f>IF(IrrigPowerType="Electric",IrrigPowerCost_TotalPerAcre,0)</f>
        <v>61.519427999999991</v>
      </c>
      <c r="F18" s="42">
        <f>IFERROR(E18/YieldPerAcre,"")</f>
        <v>0.29294965714285709</v>
      </c>
      <c r="G18" s="189">
        <f>E18*Planted_Acres</f>
        <v>8612.7199199999995</v>
      </c>
    </row>
    <row r="19" spans="2:7" x14ac:dyDescent="0.25">
      <c r="B19" s="219" t="s">
        <v>33</v>
      </c>
      <c r="C19" s="219"/>
      <c r="D19" s="219"/>
      <c r="E19" s="82">
        <f>RMCost_TotalPerAcre</f>
        <v>64.359010876081456</v>
      </c>
      <c r="F19" s="42">
        <f>IFERROR(E19/YieldPerAcre,"")</f>
        <v>0.30647148036229266</v>
      </c>
      <c r="G19" s="189">
        <f>E19*Planted_Acres</f>
        <v>9010.2615226514044</v>
      </c>
    </row>
    <row r="20" spans="2:7" x14ac:dyDescent="0.25">
      <c r="B20" s="219" t="s">
        <v>34</v>
      </c>
      <c r="C20" s="219"/>
      <c r="D20" s="219"/>
      <c r="E20" s="82">
        <f>(SUM(E10:E14)+SUM(E16:E19))*InterestRate_EffectiveOperating</f>
        <v>48.535138063807906</v>
      </c>
      <c r="F20" s="42">
        <f>IFERROR(E20/YieldPerAcre,"")</f>
        <v>0.23111970506575194</v>
      </c>
      <c r="G20" s="189">
        <f>E20*Planted_Acres</f>
        <v>6794.919328933107</v>
      </c>
    </row>
    <row r="21" spans="2:7" x14ac:dyDescent="0.25">
      <c r="B21" s="221" t="s">
        <v>35</v>
      </c>
      <c r="C21" s="221"/>
      <c r="D21" s="221"/>
      <c r="E21" s="192">
        <f>SUM(E22:E24)</f>
        <v>170.79472609863132</v>
      </c>
      <c r="F21" s="193">
        <f t="shared" ref="F21:G21" si="2">SUM(F22:F24)</f>
        <v>0.81330821951729204</v>
      </c>
      <c r="G21" s="192">
        <f t="shared" si="2"/>
        <v>23911.261653808386</v>
      </c>
    </row>
    <row r="22" spans="2:7" x14ac:dyDescent="0.25">
      <c r="B22" s="219" t="s">
        <v>36</v>
      </c>
      <c r="C22" s="219"/>
      <c r="D22" s="219"/>
      <c r="E22" s="82">
        <f>MachineryFixedCostPerAcre</f>
        <v>154.00721808238848</v>
      </c>
      <c r="F22" s="42">
        <f>IFERROR(E22/YieldPerAcre,"")</f>
        <v>0.73336770515423089</v>
      </c>
      <c r="G22" s="189">
        <f>E22*Planted_Acres</f>
        <v>21561.010531534386</v>
      </c>
    </row>
    <row r="23" spans="2:7" x14ac:dyDescent="0.25">
      <c r="B23" s="219" t="s">
        <v>37</v>
      </c>
      <c r="C23" s="219"/>
      <c r="D23" s="219"/>
      <c r="E23" s="82">
        <f>VehicleFixedCostPerAcre</f>
        <v>6.1517937305285617</v>
      </c>
      <c r="F23" s="42">
        <f>IFERROR(E23/YieldPerAcre,"")</f>
        <v>2.9294255859659817E-2</v>
      </c>
      <c r="G23" s="189">
        <f>E23*Planted_Acres</f>
        <v>861.25112227399859</v>
      </c>
    </row>
    <row r="24" spans="2:7" x14ac:dyDescent="0.25">
      <c r="B24" s="219" t="s">
        <v>38</v>
      </c>
      <c r="C24" s="219"/>
      <c r="D24" s="219"/>
      <c r="E24" s="82">
        <f>IrrigFixedCostPerAcre</f>
        <v>10.635714285714286</v>
      </c>
      <c r="F24" s="42">
        <f>IFERROR(E24/YieldPerAcre,"")</f>
        <v>5.0646258503401362E-2</v>
      </c>
      <c r="G24" s="189">
        <f>IFERROR(E24*Planted_Acres,"")</f>
        <v>1489</v>
      </c>
    </row>
    <row r="25" spans="2:7" x14ac:dyDescent="0.25">
      <c r="B25" s="221" t="s">
        <v>39</v>
      </c>
      <c r="C25" s="221"/>
      <c r="D25" s="221"/>
      <c r="E25" s="192">
        <f>E26</f>
        <v>285.71428571428572</v>
      </c>
      <c r="F25" s="193">
        <f t="shared" ref="F25:G25" si="3">F26</f>
        <v>1.3605442176870748</v>
      </c>
      <c r="G25" s="192">
        <f t="shared" si="3"/>
        <v>40000</v>
      </c>
    </row>
    <row r="26" spans="2:7" x14ac:dyDescent="0.25">
      <c r="B26" s="219" t="s">
        <v>40</v>
      </c>
      <c r="C26" s="219"/>
      <c r="D26" s="219"/>
      <c r="E26" s="2">
        <f>FieldCostPerAcre</f>
        <v>285.71428571428572</v>
      </c>
      <c r="F26" s="42">
        <f>IFERROR(E26/YieldPerAcre,"")</f>
        <v>1.3605442176870748</v>
      </c>
      <c r="G26" s="189">
        <f>E26*Planted_Acres</f>
        <v>40000</v>
      </c>
    </row>
    <row r="27" spans="2:7" x14ac:dyDescent="0.25">
      <c r="B27" s="221" t="s">
        <v>646</v>
      </c>
      <c r="C27" s="221"/>
      <c r="D27" s="221"/>
      <c r="E27" s="194">
        <f>E9+E15+E21+E25</f>
        <v>1397.2331019979597</v>
      </c>
      <c r="F27" s="195">
        <f t="shared" ref="F27:G27" si="4">F9+F15+F21+F25</f>
        <v>6.6534909618950451</v>
      </c>
      <c r="G27" s="194">
        <f t="shared" si="4"/>
        <v>195612.63427971434</v>
      </c>
    </row>
    <row r="29" spans="2:7" x14ac:dyDescent="0.25">
      <c r="B29" s="230" t="s">
        <v>647</v>
      </c>
      <c r="C29" s="230"/>
      <c r="D29" s="230"/>
      <c r="E29" s="191" t="s">
        <v>644</v>
      </c>
      <c r="F29" s="191" t="str">
        <f>"per"&amp;" "&amp;YieldUnit</f>
        <v>per Bushel</v>
      </c>
      <c r="G29" s="191" t="s">
        <v>645</v>
      </c>
    </row>
    <row r="30" spans="2:7" x14ac:dyDescent="0.25">
      <c r="B30" s="221" t="s">
        <v>41</v>
      </c>
      <c r="C30" s="221"/>
      <c r="D30" s="221"/>
      <c r="E30" s="196">
        <f>E31+E32</f>
        <v>1081.5</v>
      </c>
      <c r="F30" s="197">
        <f t="shared" ref="F30:G30" si="5">F31+F32</f>
        <v>5.15</v>
      </c>
      <c r="G30" s="196">
        <f t="shared" si="5"/>
        <v>151410</v>
      </c>
    </row>
    <row r="31" spans="2:7" x14ac:dyDescent="0.25">
      <c r="B31" s="219" t="s">
        <v>43</v>
      </c>
      <c r="C31" s="219"/>
      <c r="D31" s="219"/>
      <c r="E31" s="85">
        <f>Marketing!C9</f>
        <v>1081.5</v>
      </c>
      <c r="F31" s="22">
        <f>IFERROR(E31/YieldPerAcre,"")</f>
        <v>5.15</v>
      </c>
      <c r="G31" s="85">
        <f>E31*Planted_Acres</f>
        <v>151410</v>
      </c>
    </row>
    <row r="32" spans="2:7" x14ac:dyDescent="0.25">
      <c r="B32" s="219" t="s">
        <v>44</v>
      </c>
      <c r="C32" s="219"/>
      <c r="D32" s="219"/>
      <c r="E32" s="2">
        <f>Marketing!D36</f>
        <v>0</v>
      </c>
      <c r="F32" s="22">
        <f>IFERROR(E32/YieldPerAcre,"")</f>
        <v>0</v>
      </c>
      <c r="G32" s="2">
        <f>E32*Planted_Acres</f>
        <v>0</v>
      </c>
    </row>
    <row r="33" spans="2:7" x14ac:dyDescent="0.25">
      <c r="B33" s="221" t="s">
        <v>45</v>
      </c>
      <c r="C33" s="221"/>
      <c r="D33" s="221"/>
      <c r="E33" s="198">
        <f>SUM(E34:E36)</f>
        <v>107.80000000000001</v>
      </c>
      <c r="F33" s="199">
        <f t="shared" ref="F33:G33" si="6">SUM(F34:F36)</f>
        <v>0.51333333333333342</v>
      </c>
      <c r="G33" s="198">
        <f t="shared" si="6"/>
        <v>15092</v>
      </c>
    </row>
    <row r="34" spans="2:7" x14ac:dyDescent="0.25">
      <c r="B34" s="219" t="s">
        <v>46</v>
      </c>
      <c r="C34" s="219"/>
      <c r="D34" s="219"/>
      <c r="E34" s="2">
        <f>Marketing!D17</f>
        <v>88.2</v>
      </c>
      <c r="F34" s="22">
        <f>IFERROR(E34/YieldPerAcre,"")</f>
        <v>0.42000000000000004</v>
      </c>
      <c r="G34" s="2">
        <f>E34*Planted_Acres</f>
        <v>12348</v>
      </c>
    </row>
    <row r="35" spans="2:7" x14ac:dyDescent="0.25">
      <c r="B35" s="219" t="s">
        <v>47</v>
      </c>
      <c r="C35" s="219"/>
      <c r="D35" s="219"/>
      <c r="E35" s="2">
        <f>Marketing!D24</f>
        <v>0</v>
      </c>
      <c r="F35" s="22">
        <f>IFERROR(E35/YieldPerAcre,"")</f>
        <v>0</v>
      </c>
      <c r="G35" s="2">
        <f>E35*Planted_Acres</f>
        <v>0</v>
      </c>
    </row>
    <row r="36" spans="2:7" x14ac:dyDescent="0.25">
      <c r="B36" s="219" t="s">
        <v>48</v>
      </c>
      <c r="C36" s="219"/>
      <c r="D36" s="219"/>
      <c r="E36" s="2">
        <f>Marketing!D30</f>
        <v>19.600000000000001</v>
      </c>
      <c r="F36" s="22">
        <f>IFERROR(E36/YieldPerAcre,"")</f>
        <v>9.3333333333333338E-2</v>
      </c>
      <c r="G36" s="2">
        <f>E36*Planted_Acres</f>
        <v>2744</v>
      </c>
    </row>
    <row r="37" spans="2:7" x14ac:dyDescent="0.25">
      <c r="B37" s="208"/>
      <c r="C37" s="208"/>
      <c r="D37" s="208"/>
    </row>
    <row r="38" spans="2:7" x14ac:dyDescent="0.25">
      <c r="B38" s="207" t="s">
        <v>648</v>
      </c>
      <c r="C38" s="207"/>
      <c r="D38" s="207"/>
      <c r="E38" s="191" t="s">
        <v>50</v>
      </c>
      <c r="F38" s="191" t="str">
        <f>"Per "&amp;YieldUnit</f>
        <v>Per Bushel</v>
      </c>
      <c r="G38" s="191" t="s">
        <v>49</v>
      </c>
    </row>
    <row r="39" spans="2:7" x14ac:dyDescent="0.25">
      <c r="B39" s="219" t="s">
        <v>51</v>
      </c>
      <c r="C39" s="219"/>
      <c r="D39" s="219"/>
      <c r="E39" s="190">
        <f>E30-E33</f>
        <v>973.7</v>
      </c>
      <c r="F39" s="180">
        <f>F30-F33</f>
        <v>4.6366666666666667</v>
      </c>
      <c r="G39" s="190">
        <f>G30-G33</f>
        <v>136318</v>
      </c>
    </row>
    <row r="40" spans="2:7" ht="15.75" thickBot="1" x14ac:dyDescent="0.3">
      <c r="B40" s="218" t="s">
        <v>650</v>
      </c>
      <c r="C40" s="218"/>
      <c r="D40" s="218"/>
      <c r="E40" s="202">
        <f>SUM(E10:E14)+SUM(E16:E20)</f>
        <v>940.72409018504254</v>
      </c>
      <c r="F40" s="179">
        <f>SUM(F10:F14)+SUM(F16:F20)</f>
        <v>4.4796385246906789</v>
      </c>
      <c r="G40" s="202">
        <f>SUM(G10:G14)+SUM(G16:G20)</f>
        <v>131701.37262590596</v>
      </c>
    </row>
    <row r="41" spans="2:7" x14ac:dyDescent="0.25">
      <c r="B41" s="220" t="s">
        <v>52</v>
      </c>
      <c r="C41" s="220"/>
      <c r="D41" s="220"/>
      <c r="E41" s="203">
        <f>E39-E40</f>
        <v>32.975909814957504</v>
      </c>
      <c r="F41" s="204">
        <f t="shared" ref="F41:G41" si="7">F39-F40</f>
        <v>0.1570281419759878</v>
      </c>
      <c r="G41" s="203">
        <f t="shared" si="7"/>
        <v>4616.6273740940378</v>
      </c>
    </row>
    <row r="42" spans="2:7" x14ac:dyDescent="0.25">
      <c r="B42" s="219" t="s">
        <v>649</v>
      </c>
      <c r="C42" s="219"/>
      <c r="D42" s="219"/>
      <c r="E42" s="190">
        <f>E21</f>
        <v>170.79472609863132</v>
      </c>
      <c r="F42" s="180">
        <f t="shared" ref="F42:G42" si="8">F21</f>
        <v>0.81330821951729204</v>
      </c>
      <c r="G42" s="190">
        <f t="shared" si="8"/>
        <v>23911.261653808386</v>
      </c>
    </row>
    <row r="43" spans="2:7" ht="15.75" thickBot="1" x14ac:dyDescent="0.3">
      <c r="B43" s="218" t="s">
        <v>53</v>
      </c>
      <c r="C43" s="218"/>
      <c r="D43" s="218"/>
      <c r="E43" s="177">
        <f>E41-E42</f>
        <v>-137.81881628367381</v>
      </c>
      <c r="F43" s="200">
        <f t="shared" ref="F43:G43" si="9">F41-F42</f>
        <v>-0.65628007754130424</v>
      </c>
      <c r="G43" s="177">
        <f t="shared" si="9"/>
        <v>-19294.634279714348</v>
      </c>
    </row>
    <row r="44" spans="2:7" x14ac:dyDescent="0.25">
      <c r="B44" s="220" t="s">
        <v>651</v>
      </c>
      <c r="C44" s="220"/>
      <c r="D44" s="220"/>
      <c r="E44" s="178">
        <f>E43-E25</f>
        <v>-423.53310199795953</v>
      </c>
      <c r="F44" s="201">
        <f t="shared" ref="F44:G44" si="10">F43-F25</f>
        <v>-2.0168242952283792</v>
      </c>
      <c r="G44" s="178">
        <f t="shared" si="10"/>
        <v>-59294.634279714344</v>
      </c>
    </row>
    <row r="46" spans="2:7" x14ac:dyDescent="0.25">
      <c r="B46" s="221" t="s">
        <v>54</v>
      </c>
      <c r="C46" s="221"/>
      <c r="D46" s="221"/>
      <c r="E46" s="221"/>
      <c r="F46" s="221"/>
      <c r="G46" s="221"/>
    </row>
    <row r="47" spans="2:7" ht="15.75" thickBot="1" x14ac:dyDescent="0.3">
      <c r="B47" s="92"/>
      <c r="C47" s="231" t="str">
        <f>"Average Delivered Gross Price ($"&amp;"/"&amp;YieldUnit_Abbrev&amp;")"</f>
        <v>Average Delivered Gross Price ($/bu)</v>
      </c>
      <c r="D47" s="232"/>
      <c r="E47" s="232"/>
      <c r="F47" s="232"/>
      <c r="G47" s="232"/>
    </row>
    <row r="48" spans="2:7" x14ac:dyDescent="0.25">
      <c r="B48" s="91" t="str">
        <f>"Yield ("&amp;YieldUnit_Abbrev&amp;"/acre)"</f>
        <v>Yield (bu/acre)</v>
      </c>
      <c r="C48" s="87">
        <f>E48*0.8</f>
        <v>4.12</v>
      </c>
      <c r="D48" s="86">
        <f>E48*0.9</f>
        <v>4.6350000000000007</v>
      </c>
      <c r="E48" s="86">
        <f>Marketing!C8</f>
        <v>5.15</v>
      </c>
      <c r="F48" s="86">
        <f>E48*1.1</f>
        <v>5.6650000000000009</v>
      </c>
      <c r="G48" s="86">
        <f>E48*1.2</f>
        <v>6.1800000000000006</v>
      </c>
    </row>
    <row r="49" spans="2:7" x14ac:dyDescent="0.25">
      <c r="B49" s="88">
        <f>B51*1.2</f>
        <v>252</v>
      </c>
      <c r="C49" s="89">
        <f t="shared" ref="C49:G53" si="11">IFERROR(($B49*(C$48-$F$34-$F$35))+$E$32-$E$36-$E$27,"")</f>
        <v>-484.43310199795962</v>
      </c>
      <c r="D49" s="89">
        <f t="shared" si="11"/>
        <v>-354.65310199795931</v>
      </c>
      <c r="E49" s="89">
        <f t="shared" si="11"/>
        <v>-224.87310199795957</v>
      </c>
      <c r="F49" s="89">
        <f t="shared" si="11"/>
        <v>-95.093101997959366</v>
      </c>
      <c r="G49" s="89">
        <f t="shared" si="11"/>
        <v>34.686898002040607</v>
      </c>
    </row>
    <row r="50" spans="2:7" x14ac:dyDescent="0.25">
      <c r="B50" s="88">
        <f>B51*1.1</f>
        <v>231.00000000000003</v>
      </c>
      <c r="C50" s="89">
        <f t="shared" si="11"/>
        <v>-562.13310199795956</v>
      </c>
      <c r="D50" s="89">
        <f t="shared" si="11"/>
        <v>-443.16810199795941</v>
      </c>
      <c r="E50" s="89">
        <f t="shared" si="11"/>
        <v>-324.20310199795927</v>
      </c>
      <c r="F50" s="89">
        <f t="shared" si="11"/>
        <v>-205.23810199795912</v>
      </c>
      <c r="G50" s="89">
        <f t="shared" si="11"/>
        <v>-86.273101997959202</v>
      </c>
    </row>
    <row r="51" spans="2:7" x14ac:dyDescent="0.25">
      <c r="B51" s="90">
        <f>Marketing!C7</f>
        <v>210</v>
      </c>
      <c r="C51" s="89">
        <f t="shared" si="11"/>
        <v>-639.83310199795972</v>
      </c>
      <c r="D51" s="89">
        <f t="shared" si="11"/>
        <v>-531.68310199795951</v>
      </c>
      <c r="E51" s="89">
        <f t="shared" si="11"/>
        <v>-423.53310199795965</v>
      </c>
      <c r="F51" s="89">
        <f t="shared" si="11"/>
        <v>-315.38310199795933</v>
      </c>
      <c r="G51" s="89">
        <f t="shared" si="11"/>
        <v>-207.23310199795947</v>
      </c>
    </row>
    <row r="52" spans="2:7" x14ac:dyDescent="0.25">
      <c r="B52" s="88">
        <f>B51*0.9</f>
        <v>189</v>
      </c>
      <c r="C52" s="89">
        <f t="shared" si="11"/>
        <v>-717.53310199795965</v>
      </c>
      <c r="D52" s="89">
        <f t="shared" si="11"/>
        <v>-620.19810199795961</v>
      </c>
      <c r="E52" s="89">
        <f t="shared" si="11"/>
        <v>-522.86310199795969</v>
      </c>
      <c r="F52" s="89">
        <f t="shared" si="11"/>
        <v>-425.52810199795954</v>
      </c>
      <c r="G52" s="89">
        <f t="shared" si="11"/>
        <v>-328.1931019979595</v>
      </c>
    </row>
    <row r="53" spans="2:7" x14ac:dyDescent="0.25">
      <c r="B53" s="88">
        <f>B51*0.8</f>
        <v>168</v>
      </c>
      <c r="C53" s="89">
        <f t="shared" si="11"/>
        <v>-795.23310199795969</v>
      </c>
      <c r="D53" s="89">
        <f t="shared" si="11"/>
        <v>-708.7131019979596</v>
      </c>
      <c r="E53" s="89">
        <f t="shared" si="11"/>
        <v>-622.19310199795962</v>
      </c>
      <c r="F53" s="89">
        <f t="shared" si="11"/>
        <v>-535.67310199795952</v>
      </c>
      <c r="G53" s="89">
        <f t="shared" si="11"/>
        <v>-449.15310199795965</v>
      </c>
    </row>
    <row r="55" spans="2:7" x14ac:dyDescent="0.25">
      <c r="B55" s="221" t="s">
        <v>55</v>
      </c>
      <c r="C55" s="221"/>
      <c r="D55" s="221"/>
      <c r="E55" s="221"/>
      <c r="F55" s="221"/>
      <c r="G55" s="221"/>
    </row>
    <row r="56" spans="2:7" ht="15" customHeight="1" x14ac:dyDescent="0.25">
      <c r="B56" s="222"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23"/>
      <c r="D56" s="223"/>
      <c r="E56" s="223"/>
      <c r="F56" s="223"/>
      <c r="G56" s="224"/>
    </row>
    <row r="57" spans="2:7" x14ac:dyDescent="0.25">
      <c r="B57" s="225"/>
      <c r="C57" s="206"/>
      <c r="D57" s="206"/>
      <c r="E57" s="206"/>
      <c r="F57" s="206"/>
      <c r="G57" s="226"/>
    </row>
    <row r="58" spans="2:7" x14ac:dyDescent="0.25">
      <c r="B58" s="225"/>
      <c r="C58" s="206"/>
      <c r="D58" s="206"/>
      <c r="E58" s="206"/>
      <c r="F58" s="206"/>
      <c r="G58" s="226"/>
    </row>
    <row r="59" spans="2:7" x14ac:dyDescent="0.25">
      <c r="B59" s="225"/>
      <c r="C59" s="206"/>
      <c r="D59" s="206"/>
      <c r="E59" s="206"/>
      <c r="F59" s="206"/>
      <c r="G59" s="226"/>
    </row>
    <row r="60" spans="2:7" x14ac:dyDescent="0.25">
      <c r="B60" s="225"/>
      <c r="C60" s="206"/>
      <c r="D60" s="206"/>
      <c r="E60" s="206"/>
      <c r="F60" s="206"/>
      <c r="G60" s="226"/>
    </row>
    <row r="61" spans="2:7" x14ac:dyDescent="0.25">
      <c r="B61" s="225"/>
      <c r="C61" s="206"/>
      <c r="D61" s="206"/>
      <c r="E61" s="206"/>
      <c r="F61" s="206"/>
      <c r="G61" s="226"/>
    </row>
    <row r="62" spans="2:7" x14ac:dyDescent="0.25">
      <c r="B62" s="227"/>
      <c r="C62" s="228"/>
      <c r="D62" s="228"/>
      <c r="E62" s="228"/>
      <c r="F62" s="228"/>
      <c r="G62" s="229"/>
    </row>
    <row r="64" spans="2:7" x14ac:dyDescent="0.25">
      <c r="B64" s="221" t="s">
        <v>6</v>
      </c>
      <c r="C64" s="221"/>
      <c r="D64" s="221"/>
      <c r="E64" s="221"/>
      <c r="F64" s="221"/>
      <c r="G64" s="221"/>
    </row>
    <row r="65" spans="2:7" x14ac:dyDescent="0.25">
      <c r="B65" s="210"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11"/>
      <c r="D65" s="211"/>
      <c r="E65" s="211"/>
      <c r="F65" s="211"/>
      <c r="G65" s="212"/>
    </row>
    <row r="66" spans="2:7" x14ac:dyDescent="0.25">
      <c r="B66" s="213"/>
      <c r="C66" s="205"/>
      <c r="D66" s="205"/>
      <c r="E66" s="205"/>
      <c r="F66" s="205"/>
      <c r="G66" s="214"/>
    </row>
    <row r="67" spans="2:7" x14ac:dyDescent="0.25">
      <c r="B67" s="213"/>
      <c r="C67" s="205"/>
      <c r="D67" s="205"/>
      <c r="E67" s="205"/>
      <c r="F67" s="205"/>
      <c r="G67" s="214"/>
    </row>
    <row r="68" spans="2:7" x14ac:dyDescent="0.25">
      <c r="B68" s="213"/>
      <c r="C68" s="205"/>
      <c r="D68" s="205"/>
      <c r="E68" s="205"/>
      <c r="F68" s="205"/>
      <c r="G68" s="214"/>
    </row>
    <row r="69" spans="2:7" x14ac:dyDescent="0.25">
      <c r="B69" s="215"/>
      <c r="C69" s="216"/>
      <c r="D69" s="216"/>
      <c r="E69" s="216"/>
      <c r="F69" s="216"/>
      <c r="G69" s="217"/>
    </row>
  </sheetData>
  <sheetProtection algorithmName="SHA-512" hashValue="8GxGeGNjHFF3/Ybihd85Jr6rjiBeP2HFxIpGcZgeQpNOnWQO3aV6P5yteHfUWz9hgfU4tGRPZJAZ8SAuvUDFhw==" saltValue="B1wQ+twLBRVYCPorcDWVog==" spinCount="100000" sheet="1" objects="1" scenarios="1"/>
  <mergeCells count="51">
    <mergeCell ref="B2:G2"/>
    <mergeCell ref="B3:G3"/>
    <mergeCell ref="B4:G4"/>
    <mergeCell ref="B26:D26"/>
    <mergeCell ref="B27:D27"/>
    <mergeCell ref="B5:C5"/>
    <mergeCell ref="B6:C6"/>
    <mergeCell ref="B7:C7"/>
    <mergeCell ref="B19:D19"/>
    <mergeCell ref="B20:D20"/>
    <mergeCell ref="B9:D9"/>
    <mergeCell ref="B10:D10"/>
    <mergeCell ref="B11:D11"/>
    <mergeCell ref="B12:D12"/>
    <mergeCell ref="B13:D13"/>
    <mergeCell ref="B14:D14"/>
    <mergeCell ref="B1:G1"/>
    <mergeCell ref="B55:G55"/>
    <mergeCell ref="B64:G64"/>
    <mergeCell ref="C47:G47"/>
    <mergeCell ref="D5:E5"/>
    <mergeCell ref="D6:E6"/>
    <mergeCell ref="D7:E7"/>
    <mergeCell ref="B46:G46"/>
    <mergeCell ref="B32:D32"/>
    <mergeCell ref="B33:D33"/>
    <mergeCell ref="B34:D34"/>
    <mergeCell ref="B35:D35"/>
    <mergeCell ref="B36:D36"/>
    <mergeCell ref="B37:D37"/>
    <mergeCell ref="B38:D38"/>
    <mergeCell ref="B39:D39"/>
    <mergeCell ref="B15:D15"/>
    <mergeCell ref="B16:D16"/>
    <mergeCell ref="B17:D17"/>
    <mergeCell ref="B18:D18"/>
    <mergeCell ref="B56:G62"/>
    <mergeCell ref="B30:D30"/>
    <mergeCell ref="B31:D31"/>
    <mergeCell ref="B29:D29"/>
    <mergeCell ref="B21:D21"/>
    <mergeCell ref="B22:D22"/>
    <mergeCell ref="B23:D23"/>
    <mergeCell ref="B24:D24"/>
    <mergeCell ref="B25:D25"/>
    <mergeCell ref="B65:G69"/>
    <mergeCell ref="B40:D40"/>
    <mergeCell ref="B42:D42"/>
    <mergeCell ref="B41:D41"/>
    <mergeCell ref="B43:D43"/>
    <mergeCell ref="B44:D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7109375" style="17" customWidth="1"/>
    <col min="2" max="2" width="44.7109375" style="17" customWidth="1"/>
    <col min="3" max="4" width="18.7109375" style="17" customWidth="1"/>
    <col min="5" max="6" width="4.7109375" style="17" customWidth="1"/>
    <col min="7" max="16384" width="8.85546875" style="17"/>
  </cols>
  <sheetData>
    <row r="1" spans="2:4" ht="19.5" thickBot="1" x14ac:dyDescent="0.35">
      <c r="B1" s="235" t="s">
        <v>56</v>
      </c>
      <c r="C1" s="235"/>
      <c r="D1" s="235"/>
    </row>
    <row r="3" spans="2:4" x14ac:dyDescent="0.25">
      <c r="B3" s="221" t="s">
        <v>57</v>
      </c>
      <c r="C3" s="221"/>
    </row>
    <row r="4" spans="2:4" x14ac:dyDescent="0.25">
      <c r="B4" s="16" t="s">
        <v>58</v>
      </c>
      <c r="C4" s="93" t="s">
        <v>59</v>
      </c>
    </row>
    <row r="5" spans="2:4" x14ac:dyDescent="0.25">
      <c r="B5" s="16" t="s">
        <v>60</v>
      </c>
      <c r="C5" s="93" t="s">
        <v>61</v>
      </c>
    </row>
    <row r="6" spans="2:4" x14ac:dyDescent="0.25">
      <c r="B6" s="16" t="s">
        <v>62</v>
      </c>
      <c r="C6" s="93" t="s">
        <v>63</v>
      </c>
    </row>
    <row r="7" spans="2:4" x14ac:dyDescent="0.25">
      <c r="B7" s="16" t="s">
        <v>64</v>
      </c>
      <c r="C7" s="94">
        <v>210</v>
      </c>
    </row>
    <row r="8" spans="2:4" x14ac:dyDescent="0.25">
      <c r="B8" s="16" t="s">
        <v>65</v>
      </c>
      <c r="C8" s="95">
        <v>5.15</v>
      </c>
    </row>
    <row r="9" spans="2:4" x14ac:dyDescent="0.25">
      <c r="B9" s="16" t="s">
        <v>66</v>
      </c>
      <c r="C9" s="24">
        <f>C7*C8</f>
        <v>1081.5</v>
      </c>
    </row>
    <row r="11" spans="2:4" x14ac:dyDescent="0.25">
      <c r="B11" s="7" t="s">
        <v>67</v>
      </c>
      <c r="C11" s="8" t="str">
        <f>"Cost per"&amp;" "&amp;YieldUnit</f>
        <v>Cost per Bushel</v>
      </c>
      <c r="D11" s="8" t="s">
        <v>23</v>
      </c>
    </row>
    <row r="12" spans="2:4" x14ac:dyDescent="0.25">
      <c r="B12" s="16" t="s">
        <v>68</v>
      </c>
      <c r="C12" s="97">
        <v>0.12</v>
      </c>
      <c r="D12" s="53">
        <f>C12*YieldPerAcre</f>
        <v>25.2</v>
      </c>
    </row>
    <row r="13" spans="2:4" x14ac:dyDescent="0.25">
      <c r="B13" s="16" t="s">
        <v>69</v>
      </c>
      <c r="C13" s="97"/>
      <c r="D13" s="53">
        <f>C13*YieldPerAcre</f>
        <v>0</v>
      </c>
    </row>
    <row r="14" spans="2:4" x14ac:dyDescent="0.25">
      <c r="B14" s="16" t="s">
        <v>70</v>
      </c>
      <c r="C14" s="97">
        <v>0.3</v>
      </c>
      <c r="D14" s="53">
        <f>C14*YieldPerAcre</f>
        <v>63</v>
      </c>
    </row>
    <row r="15" spans="2:4" x14ac:dyDescent="0.25">
      <c r="B15" s="16" t="s">
        <v>71</v>
      </c>
      <c r="C15" s="97"/>
      <c r="D15" s="53">
        <f>C15*YieldPerAcre</f>
        <v>0</v>
      </c>
    </row>
    <row r="16" spans="2:4" x14ac:dyDescent="0.25">
      <c r="B16" s="16" t="s">
        <v>72</v>
      </c>
      <c r="C16" s="97"/>
      <c r="D16" s="53">
        <f>C16*YieldPerAcre</f>
        <v>0</v>
      </c>
    </row>
    <row r="17" spans="2:12" x14ac:dyDescent="0.25">
      <c r="B17" s="10" t="s">
        <v>73</v>
      </c>
      <c r="C17" s="81">
        <f>SUM(C12:C16)</f>
        <v>0.42</v>
      </c>
      <c r="D17" s="81">
        <f>SUM(D12:D16)</f>
        <v>88.2</v>
      </c>
    </row>
    <row r="18" spans="2:12" x14ac:dyDescent="0.25">
      <c r="C18" s="19"/>
    </row>
    <row r="19" spans="2:12" x14ac:dyDescent="0.25">
      <c r="B19" s="7" t="s">
        <v>74</v>
      </c>
      <c r="C19" s="8" t="str">
        <f>"Cost per"&amp;" "&amp;YieldUnit</f>
        <v>Cost per Bushel</v>
      </c>
      <c r="D19" s="8" t="s">
        <v>23</v>
      </c>
    </row>
    <row r="20" spans="2:12" x14ac:dyDescent="0.25">
      <c r="B20" s="25" t="s">
        <v>75</v>
      </c>
      <c r="C20" s="99"/>
      <c r="D20" s="53">
        <f>C20*YieldPerAcre</f>
        <v>0</v>
      </c>
    </row>
    <row r="21" spans="2:12" x14ac:dyDescent="0.25">
      <c r="B21" s="16" t="s">
        <v>76</v>
      </c>
      <c r="C21" s="97"/>
      <c r="D21" s="53">
        <f>C21*YieldPerAcre</f>
        <v>0</v>
      </c>
      <c r="L21" s="20"/>
    </row>
    <row r="22" spans="2:12" x14ac:dyDescent="0.25">
      <c r="B22" s="16" t="s">
        <v>77</v>
      </c>
      <c r="C22" s="97"/>
      <c r="D22" s="53">
        <f>C22*YieldPerAcre</f>
        <v>0</v>
      </c>
    </row>
    <row r="23" spans="2:12" x14ac:dyDescent="0.25">
      <c r="B23" s="16" t="s">
        <v>72</v>
      </c>
      <c r="C23" s="97"/>
      <c r="D23" s="53">
        <f>C23*YieldPerAcre</f>
        <v>0</v>
      </c>
    </row>
    <row r="24" spans="2:12" x14ac:dyDescent="0.25">
      <c r="B24" s="10" t="s">
        <v>73</v>
      </c>
      <c r="C24" s="81">
        <f>SUM(C20:C23)</f>
        <v>0</v>
      </c>
      <c r="D24" s="81">
        <f>SUM(D20:D23)</f>
        <v>0</v>
      </c>
    </row>
    <row r="25" spans="2:12" x14ac:dyDescent="0.25">
      <c r="C25" s="19"/>
      <c r="D25" s="19"/>
    </row>
    <row r="26" spans="2:12" x14ac:dyDescent="0.25">
      <c r="B26" s="83"/>
      <c r="C26" s="8" t="str">
        <f>"Revenue per"&amp;" "&amp;YieldUnit</f>
        <v>Revenue per Bushel</v>
      </c>
      <c r="D26" s="8" t="s">
        <v>42</v>
      </c>
    </row>
    <row r="27" spans="2:12" x14ac:dyDescent="0.25">
      <c r="B27" s="10" t="s">
        <v>78</v>
      </c>
      <c r="C27" s="182">
        <f>C8-C17-C24</f>
        <v>4.7300000000000004</v>
      </c>
      <c r="D27" s="182">
        <f>C9-D17-D24</f>
        <v>993.3</v>
      </c>
    </row>
    <row r="28" spans="2:12" x14ac:dyDescent="0.25">
      <c r="C28" s="19"/>
      <c r="D28" s="19"/>
    </row>
    <row r="29" spans="2:12" x14ac:dyDescent="0.25">
      <c r="B29" s="83"/>
      <c r="C29" s="8" t="str">
        <f>"Cost per"&amp;" "&amp;YieldUnit</f>
        <v>Cost per Bushel</v>
      </c>
      <c r="D29" s="8" t="s">
        <v>23</v>
      </c>
    </row>
    <row r="30" spans="2:12" x14ac:dyDescent="0.25">
      <c r="B30" s="16" t="s">
        <v>48</v>
      </c>
      <c r="C30" s="81">
        <f>IFERROR(D30/YieldPerAcre,"")</f>
        <v>9.3333333333333338E-2</v>
      </c>
      <c r="D30" s="97">
        <v>19.600000000000001</v>
      </c>
    </row>
    <row r="31" spans="2:12" x14ac:dyDescent="0.25">
      <c r="C31" s="19"/>
      <c r="D31" s="19"/>
    </row>
    <row r="32" spans="2:12" x14ac:dyDescent="0.25">
      <c r="B32" s="7" t="s">
        <v>79</v>
      </c>
      <c r="C32" s="8" t="str">
        <f>"Revenue per"&amp;" "&amp;YieldUnit</f>
        <v>Revenue per Bushel</v>
      </c>
      <c r="D32" s="8" t="s">
        <v>42</v>
      </c>
    </row>
    <row r="33" spans="2:4" x14ac:dyDescent="0.25">
      <c r="B33" s="25" t="s">
        <v>80</v>
      </c>
      <c r="C33" s="81">
        <f>IFERROR(D33/YieldPerAcre,"")</f>
        <v>0</v>
      </c>
      <c r="D33" s="99"/>
    </row>
    <row r="34" spans="2:4" x14ac:dyDescent="0.25">
      <c r="B34" s="16" t="s">
        <v>81</v>
      </c>
      <c r="C34" s="81">
        <f>IFERROR(D34/YieldPerAcre,"")</f>
        <v>0</v>
      </c>
      <c r="D34" s="97"/>
    </row>
    <row r="35" spans="2:4" x14ac:dyDescent="0.25">
      <c r="B35" s="16" t="s">
        <v>82</v>
      </c>
      <c r="C35" s="81">
        <f>IFERROR(D35/YieldPerAcre,"")</f>
        <v>0</v>
      </c>
      <c r="D35" s="97"/>
    </row>
    <row r="36" spans="2:4" x14ac:dyDescent="0.25">
      <c r="B36" s="10" t="s">
        <v>73</v>
      </c>
      <c r="C36" s="81">
        <f>SUM(C33:C35)</f>
        <v>0</v>
      </c>
      <c r="D36" s="81">
        <f>SUM(D33:D35)</f>
        <v>0</v>
      </c>
    </row>
    <row r="38" spans="2:4" x14ac:dyDescent="0.25">
      <c r="B38" s="7"/>
      <c r="C38" s="8" t="str">
        <f>"Revenue per"&amp;" "&amp;YieldUnit</f>
        <v>Revenue per Bushel</v>
      </c>
      <c r="D38" s="8" t="s">
        <v>42</v>
      </c>
    </row>
    <row r="39" spans="2:4" x14ac:dyDescent="0.25">
      <c r="B39" s="10" t="s">
        <v>51</v>
      </c>
      <c r="C39" s="80">
        <f>C27-C30+C36</f>
        <v>4.6366666666666667</v>
      </c>
      <c r="D39" s="80">
        <f>D27-D30+D36</f>
        <v>973.69999999999993</v>
      </c>
    </row>
  </sheetData>
  <sheetProtection algorithmName="SHA-512" hashValue="s/NIc20f501afzdn6lPGrHAQZfdaIJCwFG8Ivufx0Dupjru8pnfFBdRwu8WIGEI1hBKUG6F6LO3JQuQfew3LVw==" saltValue="Eqe0T5cabgOjgypqBkMEQg=="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workbookViewId="0"/>
  </sheetViews>
  <sheetFormatPr defaultColWidth="8.85546875" defaultRowHeight="15" x14ac:dyDescent="0.25"/>
  <cols>
    <col min="1" max="1" width="4.7109375" style="17" customWidth="1"/>
    <col min="2" max="2" width="33.7109375" style="17" customWidth="1"/>
    <col min="3" max="3" width="30.7109375" style="17" customWidth="1"/>
    <col min="4" max="4" width="13.28515625" style="17" customWidth="1"/>
    <col min="5" max="5" width="14.7109375" style="17" customWidth="1"/>
    <col min="6" max="6" width="11.7109375" style="17" customWidth="1"/>
    <col min="7" max="7" width="13.140625" style="17" customWidth="1"/>
    <col min="8" max="16384" width="8.85546875" style="17"/>
  </cols>
  <sheetData>
    <row r="1" spans="2:7" ht="19.5" thickBot="1" x14ac:dyDescent="0.35">
      <c r="B1" s="235" t="s">
        <v>83</v>
      </c>
      <c r="C1" s="235"/>
      <c r="D1" s="235"/>
      <c r="E1" s="235"/>
      <c r="F1" s="235"/>
      <c r="G1" s="235"/>
    </row>
    <row r="3" spans="2:7" ht="45" x14ac:dyDescent="0.25">
      <c r="B3" s="7" t="s">
        <v>84</v>
      </c>
      <c r="C3" s="61" t="s">
        <v>85</v>
      </c>
      <c r="D3" s="188" t="s">
        <v>86</v>
      </c>
      <c r="E3" s="36" t="s">
        <v>87</v>
      </c>
      <c r="F3" s="36" t="s">
        <v>175</v>
      </c>
      <c r="G3" s="36" t="s">
        <v>88</v>
      </c>
    </row>
    <row r="4" spans="2:7" x14ac:dyDescent="0.25">
      <c r="B4" s="93" t="s">
        <v>89</v>
      </c>
      <c r="C4" s="100">
        <f>IFERROR(VLOOKUP($B4,SeedTable[],2,FALSE),"")</f>
        <v>0</v>
      </c>
      <c r="D4" s="101" t="str">
        <f>IFERROR(VLOOKUP($B4,SeedTable[],5,FALSE),"")</f>
        <v>1000 seeds</v>
      </c>
      <c r="E4" s="98">
        <f>IFERROR(VLOOKUP($B4,SeedTable[],7,FALSE),"")</f>
        <v>4.625</v>
      </c>
      <c r="F4" s="93">
        <v>30</v>
      </c>
      <c r="G4" s="53">
        <f>IFERROR(E4*F4,"")</f>
        <v>138.75</v>
      </c>
    </row>
    <row r="5" spans="2:7" x14ac:dyDescent="0.25">
      <c r="B5" s="93"/>
      <c r="C5" s="100" t="str">
        <f>IFERROR(VLOOKUP($B5,SeedTable[],2,FALSE),"")</f>
        <v/>
      </c>
      <c r="D5" s="101" t="str">
        <f>IFERROR(VLOOKUP($B5,SeedTable[],5,FALSE),"")</f>
        <v/>
      </c>
      <c r="E5" s="98" t="str">
        <f>IFERROR(VLOOKUP($B5,SeedTable[],7,FALSE),"")</f>
        <v/>
      </c>
      <c r="F5" s="93"/>
      <c r="G5" s="53" t="str">
        <f t="shared" ref="G5:G6" si="0">IFERROR(E5*F5,"")</f>
        <v/>
      </c>
    </row>
    <row r="6" spans="2:7" x14ac:dyDescent="0.25">
      <c r="B6" s="93"/>
      <c r="C6" s="100" t="str">
        <f>IFERROR(VLOOKUP($B6,SeedTable[],2,FALSE),"")</f>
        <v/>
      </c>
      <c r="D6" s="101" t="str">
        <f>IFERROR(VLOOKUP($B6,SeedTable[],5,FALSE),"")</f>
        <v/>
      </c>
      <c r="E6" s="98" t="str">
        <f>IFERROR(VLOOKUP($B6,SeedTable[],7,FALSE),"")</f>
        <v/>
      </c>
      <c r="F6" s="93"/>
      <c r="G6" s="53" t="str">
        <f t="shared" si="0"/>
        <v/>
      </c>
    </row>
    <row r="7" spans="2:7" x14ac:dyDescent="0.25">
      <c r="B7" s="236" t="s">
        <v>73</v>
      </c>
      <c r="C7" s="237"/>
      <c r="D7" s="237"/>
      <c r="E7" s="237"/>
      <c r="F7" s="237"/>
      <c r="G7" s="80">
        <f>SUM(G4:G6)</f>
        <v>138.75</v>
      </c>
    </row>
    <row r="9" spans="2:7" ht="45" x14ac:dyDescent="0.25">
      <c r="B9" s="7" t="s">
        <v>90</v>
      </c>
      <c r="C9" s="7" t="s">
        <v>85</v>
      </c>
      <c r="D9" s="188" t="s">
        <v>86</v>
      </c>
      <c r="E9" s="36" t="s">
        <v>87</v>
      </c>
      <c r="F9" s="36" t="s">
        <v>175</v>
      </c>
      <c r="G9" s="36" t="s">
        <v>88</v>
      </c>
    </row>
    <row r="10" spans="2:7" x14ac:dyDescent="0.25">
      <c r="B10" s="93" t="s">
        <v>91</v>
      </c>
      <c r="C10" s="100" t="str">
        <f>IFERROR(VLOOKUP($B10,FertilizerTable[],2,FALSE),"")</f>
        <v>lime</v>
      </c>
      <c r="D10" s="101" t="str">
        <f>IFERROR(VLOOKUP($B10,FertilizerTable[],5,FALSE),"")</f>
        <v>ton</v>
      </c>
      <c r="E10" s="98">
        <f>IFERROR(VLOOKUP($B10,FertilizerTable[],7,FALSE),"")</f>
        <v>30.5</v>
      </c>
      <c r="F10" s="93">
        <v>0.4</v>
      </c>
      <c r="G10" s="53">
        <f t="shared" ref="G10:G21" si="1">IFERROR(E10*F10,"")</f>
        <v>12.200000000000001</v>
      </c>
    </row>
    <row r="11" spans="2:7" x14ac:dyDescent="0.25">
      <c r="B11" s="93" t="s">
        <v>92</v>
      </c>
      <c r="C11" s="100" t="str">
        <f>IFERROR(VLOOKUP($B11,FertilizerTable[],2,FALSE),"")</f>
        <v>soil amendment, delivered</v>
      </c>
      <c r="D11" s="101" t="str">
        <f>IFERROR(VLOOKUP($B11,FertilizerTable[],5,FALSE),"")</f>
        <v>ton</v>
      </c>
      <c r="E11" s="98">
        <f>IFERROR(VLOOKUP($B11,FertilizerTable[],7,FALSE),"")</f>
        <v>44</v>
      </c>
      <c r="F11" s="93">
        <v>1</v>
      </c>
      <c r="G11" s="53">
        <f t="shared" si="1"/>
        <v>44</v>
      </c>
    </row>
    <row r="12" spans="2:7" x14ac:dyDescent="0.25">
      <c r="B12" s="93" t="s">
        <v>93</v>
      </c>
      <c r="C12" s="100" t="str">
        <f>IFERROR(VLOOKUP($B12,FertilizerTable[],2,FALSE),"")</f>
        <v>dry fertilizer</v>
      </c>
      <c r="D12" s="101" t="str">
        <f>IFERROR(VLOOKUP($B12,FertilizerTable[],5,FALSE),"")</f>
        <v>lb</v>
      </c>
      <c r="E12" s="98">
        <f>IFERROR(VLOOKUP($B12,FertilizerTable[],7,FALSE),"")</f>
        <v>0.215</v>
      </c>
      <c r="F12" s="93">
        <v>250</v>
      </c>
      <c r="G12" s="53">
        <f t="shared" si="1"/>
        <v>53.75</v>
      </c>
    </row>
    <row r="13" spans="2:7" x14ac:dyDescent="0.25">
      <c r="B13" s="93" t="s">
        <v>94</v>
      </c>
      <c r="C13" s="100" t="str">
        <f>IFERROR(VLOOKUP($B13,FertilizerTable[],2,FALSE),"")</f>
        <v>dry fertilizer</v>
      </c>
      <c r="D13" s="101" t="str">
        <f>IFERROR(VLOOKUP($B13,FertilizerTable[],5,FALSE),"")</f>
        <v>lb</v>
      </c>
      <c r="E13" s="98">
        <f>IFERROR(VLOOKUP($B13,FertilizerTable[],7,FALSE),"")</f>
        <v>0.28875000000000001</v>
      </c>
      <c r="F13" s="93">
        <v>230</v>
      </c>
      <c r="G13" s="53">
        <f t="shared" si="1"/>
        <v>66.412500000000009</v>
      </c>
    </row>
    <row r="14" spans="2:7" x14ac:dyDescent="0.25">
      <c r="B14" s="93" t="s">
        <v>95</v>
      </c>
      <c r="C14" s="100" t="str">
        <f>IFERROR(VLOOKUP($B14,FertilizerTable[],2,FALSE),"")</f>
        <v>liquid fertilizer</v>
      </c>
      <c r="D14" s="101" t="str">
        <f>IFERROR(VLOOKUP($B14,FertilizerTable[],5,FALSE),"")</f>
        <v>gallon</v>
      </c>
      <c r="E14" s="98">
        <f>IFERROR(VLOOKUP($B14,FertilizerTable[],7,FALSE),"")</f>
        <v>2.5706214689265536</v>
      </c>
      <c r="F14" s="93">
        <v>11.5</v>
      </c>
      <c r="G14" s="53">
        <f t="shared" si="1"/>
        <v>29.562146892655367</v>
      </c>
    </row>
    <row r="15" spans="2:7" x14ac:dyDescent="0.25">
      <c r="B15" s="93" t="s">
        <v>96</v>
      </c>
      <c r="C15" s="100" t="str">
        <f>IFERROR(VLOOKUP($B15,FertilizerTable[],2,FALSE),"")</f>
        <v>liquid fertilizer</v>
      </c>
      <c r="D15" s="101" t="str">
        <f>IFERROR(VLOOKUP($B15,FertilizerTable[],5,FALSE),"")</f>
        <v>gallon</v>
      </c>
      <c r="E15" s="98">
        <f>IFERROR(VLOOKUP($B15,FertilizerTable[],7,FALSE),"")</f>
        <v>2.3118279569892475</v>
      </c>
      <c r="F15" s="93">
        <v>83</v>
      </c>
      <c r="G15" s="53">
        <f t="shared" si="1"/>
        <v>191.88172043010755</v>
      </c>
    </row>
    <row r="16" spans="2:7" x14ac:dyDescent="0.25">
      <c r="B16" s="93" t="s">
        <v>97</v>
      </c>
      <c r="C16" s="100" t="str">
        <f>IFERROR(VLOOKUP($B16,FertilizerTable[],2,FALSE),"")</f>
        <v>dry fertilizer</v>
      </c>
      <c r="D16" s="101" t="str">
        <f>IFERROR(VLOOKUP($B16,FertilizerTable[],5,FALSE),"")</f>
        <v>lb</v>
      </c>
      <c r="E16" s="98">
        <f>IFERROR(VLOOKUP($B16,FertilizerTable[],7,FALSE),"")</f>
        <v>0.45500000000000002</v>
      </c>
      <c r="F16" s="93">
        <v>1</v>
      </c>
      <c r="G16" s="53">
        <f t="shared" si="1"/>
        <v>0.45500000000000002</v>
      </c>
    </row>
    <row r="17" spans="2:7" x14ac:dyDescent="0.25">
      <c r="B17" s="93" t="s">
        <v>98</v>
      </c>
      <c r="C17" s="100" t="str">
        <f>IFERROR(VLOOKUP($B17,FertilizerTable[],2,FALSE),"")</f>
        <v>dry fertilizer</v>
      </c>
      <c r="D17" s="101" t="str">
        <f>IFERROR(VLOOKUP($B17,FertilizerTable[],5,FALSE),"")</f>
        <v>lb</v>
      </c>
      <c r="E17" s="98">
        <f>IFERROR(VLOOKUP($B17,FertilizerTable[],7,FALSE),"")</f>
        <v>0.88124999999999998</v>
      </c>
      <c r="F17" s="93">
        <v>2.5</v>
      </c>
      <c r="G17" s="53">
        <f t="shared" si="1"/>
        <v>2.203125</v>
      </c>
    </row>
    <row r="18" spans="2:7" x14ac:dyDescent="0.25">
      <c r="B18" s="93" t="s">
        <v>99</v>
      </c>
      <c r="C18" s="100" t="str">
        <f>IFERROR(VLOOKUP($B18,FertilizerTable[],2,FALSE),"")</f>
        <v>dry fertilizer</v>
      </c>
      <c r="D18" s="101" t="str">
        <f>IFERROR(VLOOKUP($B18,FertilizerTable[],5,FALSE),"")</f>
        <v>lb</v>
      </c>
      <c r="E18" s="98">
        <f>IFERROR(VLOOKUP($B18,FertilizerTable[],7,FALSE),"")</f>
        <v>0.64124999999999999</v>
      </c>
      <c r="F18" s="93">
        <v>5</v>
      </c>
      <c r="G18" s="53">
        <f t="shared" si="1"/>
        <v>3.2062499999999998</v>
      </c>
    </row>
    <row r="19" spans="2:7" x14ac:dyDescent="0.25">
      <c r="B19" s="93"/>
      <c r="C19" s="100" t="str">
        <f>IFERROR(VLOOKUP($B19,FertilizerTable[],2,FALSE),"")</f>
        <v/>
      </c>
      <c r="D19" s="101" t="str">
        <f>IFERROR(VLOOKUP($B19,FertilizerTable[],5,FALSE),"")</f>
        <v/>
      </c>
      <c r="E19" s="98" t="str">
        <f>IFERROR(VLOOKUP($B19,FertilizerTable[],7,FALSE),"")</f>
        <v/>
      </c>
      <c r="F19" s="93"/>
      <c r="G19" s="53" t="str">
        <f t="shared" si="1"/>
        <v/>
      </c>
    </row>
    <row r="20" spans="2:7" x14ac:dyDescent="0.25">
      <c r="B20" s="93"/>
      <c r="C20" s="100" t="str">
        <f>IFERROR(VLOOKUP($B20,FertilizerTable[],2,FALSE),"")</f>
        <v/>
      </c>
      <c r="D20" s="101" t="str">
        <f>IFERROR(VLOOKUP($B20,FertilizerTable[],5,FALSE),"")</f>
        <v/>
      </c>
      <c r="E20" s="98" t="str">
        <f>IFERROR(VLOOKUP($B20,FertilizerTable[],7,FALSE),"")</f>
        <v/>
      </c>
      <c r="F20" s="93"/>
      <c r="G20" s="53" t="str">
        <f t="shared" si="1"/>
        <v/>
      </c>
    </row>
    <row r="21" spans="2:7" x14ac:dyDescent="0.25">
      <c r="B21" s="93"/>
      <c r="C21" s="100" t="str">
        <f>IFERROR(VLOOKUP($B21,FertilizerTable[],2,FALSE),"")</f>
        <v/>
      </c>
      <c r="D21" s="101" t="str">
        <f>IFERROR(VLOOKUP($B21,FertilizerTable[],5,FALSE),"")</f>
        <v/>
      </c>
      <c r="E21" s="98" t="str">
        <f>IFERROR(VLOOKUP($B21,FertilizerTable[],7,FALSE),"")</f>
        <v/>
      </c>
      <c r="F21" s="93"/>
      <c r="G21" s="53" t="str">
        <f t="shared" si="1"/>
        <v/>
      </c>
    </row>
    <row r="22" spans="2:7" x14ac:dyDescent="0.25">
      <c r="B22" s="236" t="s">
        <v>73</v>
      </c>
      <c r="C22" s="237"/>
      <c r="D22" s="237"/>
      <c r="E22" s="237"/>
      <c r="F22" s="237"/>
      <c r="G22" s="80">
        <f>SUM(G10:G21)</f>
        <v>403.67074232276292</v>
      </c>
    </row>
    <row r="24" spans="2:7" ht="45" x14ac:dyDescent="0.25">
      <c r="B24" s="7" t="s">
        <v>100</v>
      </c>
      <c r="C24" s="7" t="s">
        <v>101</v>
      </c>
      <c r="D24" s="188" t="s">
        <v>86</v>
      </c>
      <c r="E24" s="36" t="s">
        <v>87</v>
      </c>
      <c r="F24" s="36" t="s">
        <v>175</v>
      </c>
      <c r="G24" s="36" t="s">
        <v>88</v>
      </c>
    </row>
    <row r="25" spans="2:7" x14ac:dyDescent="0.25">
      <c r="B25" s="93" t="s">
        <v>102</v>
      </c>
      <c r="C25" s="100" t="str">
        <f>IFERROR(VLOOKUP($B25,FungicideTable[],2,FALSE),"")</f>
        <v>pyraclostrobin</v>
      </c>
      <c r="D25" s="101" t="str">
        <f>IFERROR(VLOOKUP($B25,FungicideTable[],5,FALSE),"")</f>
        <v>fl oz</v>
      </c>
      <c r="E25" s="98">
        <f>IFERROR(VLOOKUP($B25,FungicideTable[],7,FALSE),"")</f>
        <v>1.1328125</v>
      </c>
      <c r="F25" s="93">
        <v>10</v>
      </c>
      <c r="G25" s="53">
        <f t="shared" ref="G25:G34" si="2">IFERROR(E25*F25,"")</f>
        <v>11.328125</v>
      </c>
    </row>
    <row r="26" spans="2:7" x14ac:dyDescent="0.25">
      <c r="B26" s="93"/>
      <c r="C26" s="100" t="str">
        <f>IFERROR(VLOOKUP($B26,FungicideTable[],2,FALSE),"")</f>
        <v/>
      </c>
      <c r="D26" s="101" t="str">
        <f>IFERROR(VLOOKUP($B26,FungicideTable[],5,FALSE),"")</f>
        <v/>
      </c>
      <c r="E26" s="98" t="str">
        <f>IFERROR(VLOOKUP($B26,FungicideTable[],7,FALSE),"")</f>
        <v/>
      </c>
      <c r="F26" s="93"/>
      <c r="G26" s="53" t="str">
        <f t="shared" si="2"/>
        <v/>
      </c>
    </row>
    <row r="27" spans="2:7" x14ac:dyDescent="0.25">
      <c r="B27" s="93"/>
      <c r="C27" s="100" t="str">
        <f>IFERROR(VLOOKUP($B27,FungicideTable[],2,FALSE),"")</f>
        <v/>
      </c>
      <c r="D27" s="101" t="str">
        <f>IFERROR(VLOOKUP($B27,FungicideTable[],5,FALSE),"")</f>
        <v/>
      </c>
      <c r="E27" s="98" t="str">
        <f>IFERROR(VLOOKUP($B27,FungicideTable[],7,FALSE),"")</f>
        <v/>
      </c>
      <c r="F27" s="93"/>
      <c r="G27" s="53" t="str">
        <f t="shared" si="2"/>
        <v/>
      </c>
    </row>
    <row r="28" spans="2:7" x14ac:dyDescent="0.25">
      <c r="B28" s="93"/>
      <c r="C28" s="100" t="str">
        <f>IFERROR(VLOOKUP($B28,FungicideTable[],2,FALSE),"")</f>
        <v/>
      </c>
      <c r="D28" s="101" t="str">
        <f>IFERROR(VLOOKUP($B28,FungicideTable[],5,FALSE),"")</f>
        <v/>
      </c>
      <c r="E28" s="98" t="str">
        <f>IFERROR(VLOOKUP($B28,FungicideTable[],7,FALSE),"")</f>
        <v/>
      </c>
      <c r="F28" s="93"/>
      <c r="G28" s="53" t="str">
        <f t="shared" si="2"/>
        <v/>
      </c>
    </row>
    <row r="29" spans="2:7" x14ac:dyDescent="0.25">
      <c r="B29" s="93"/>
      <c r="C29" s="100" t="str">
        <f>IFERROR(VLOOKUP($B29,FungicideTable[],2,FALSE),"")</f>
        <v/>
      </c>
      <c r="D29" s="101" t="str">
        <f>IFERROR(VLOOKUP($B29,FungicideTable[],5,FALSE),"")</f>
        <v/>
      </c>
      <c r="E29" s="98" t="str">
        <f>IFERROR(VLOOKUP($B29,FungicideTable[],7,FALSE),"")</f>
        <v/>
      </c>
      <c r="F29" s="93"/>
      <c r="G29" s="53" t="str">
        <f t="shared" si="2"/>
        <v/>
      </c>
    </row>
    <row r="30" spans="2:7" x14ac:dyDescent="0.25">
      <c r="B30" s="93"/>
      <c r="C30" s="100" t="str">
        <f>IFERROR(VLOOKUP($B30,FungicideTable[],2,FALSE),"")</f>
        <v/>
      </c>
      <c r="D30" s="101" t="str">
        <f>IFERROR(VLOOKUP($B30,FungicideTable[],5,FALSE),"")</f>
        <v/>
      </c>
      <c r="E30" s="98" t="str">
        <f>IFERROR(VLOOKUP($B30,FungicideTable[],7,FALSE),"")</f>
        <v/>
      </c>
      <c r="F30" s="93"/>
      <c r="G30" s="53" t="str">
        <f t="shared" si="2"/>
        <v/>
      </c>
    </row>
    <row r="31" spans="2:7" x14ac:dyDescent="0.25">
      <c r="B31" s="93"/>
      <c r="C31" s="100" t="str">
        <f>IFERROR(VLOOKUP($B31,FungicideTable[],2,FALSE),"")</f>
        <v/>
      </c>
      <c r="D31" s="101" t="str">
        <f>IFERROR(VLOOKUP($B31,FungicideTable[],5,FALSE),"")</f>
        <v/>
      </c>
      <c r="E31" s="98" t="str">
        <f>IFERROR(VLOOKUP($B31,FungicideTable[],7,FALSE),"")</f>
        <v/>
      </c>
      <c r="F31" s="93"/>
      <c r="G31" s="53" t="str">
        <f t="shared" si="2"/>
        <v/>
      </c>
    </row>
    <row r="32" spans="2:7" x14ac:dyDescent="0.25">
      <c r="B32" s="93"/>
      <c r="C32" s="100" t="str">
        <f>IFERROR(VLOOKUP($B32,FungicideTable[],2,FALSE),"")</f>
        <v/>
      </c>
      <c r="D32" s="101" t="str">
        <f>IFERROR(VLOOKUP($B32,FungicideTable[],5,FALSE),"")</f>
        <v/>
      </c>
      <c r="E32" s="98" t="str">
        <f>IFERROR(VLOOKUP($B32,FungicideTable[],7,FALSE),"")</f>
        <v/>
      </c>
      <c r="F32" s="93"/>
      <c r="G32" s="53" t="str">
        <f t="shared" si="2"/>
        <v/>
      </c>
    </row>
    <row r="33" spans="2:7" x14ac:dyDescent="0.25">
      <c r="B33" s="93"/>
      <c r="C33" s="100" t="str">
        <f>IFERROR(VLOOKUP($B33,FungicideTable[],2,FALSE),"")</f>
        <v/>
      </c>
      <c r="D33" s="101" t="str">
        <f>IFERROR(VLOOKUP($B33,FungicideTable[],5,FALSE),"")</f>
        <v/>
      </c>
      <c r="E33" s="98" t="str">
        <f>IFERROR(VLOOKUP($B33,FungicideTable[],7,FALSE),"")</f>
        <v/>
      </c>
      <c r="F33" s="93"/>
      <c r="G33" s="53" t="str">
        <f t="shared" si="2"/>
        <v/>
      </c>
    </row>
    <row r="34" spans="2:7" x14ac:dyDescent="0.25">
      <c r="B34" s="93"/>
      <c r="C34" s="100" t="str">
        <f>IFERROR(VLOOKUP($B34,FungicideTable[],2,FALSE),"")</f>
        <v/>
      </c>
      <c r="D34" s="101" t="str">
        <f>IFERROR(VLOOKUP($B34,FungicideTable[],5,FALSE),"")</f>
        <v/>
      </c>
      <c r="E34" s="98" t="str">
        <f>IFERROR(VLOOKUP($B34,FungicideTable[],7,FALSE),"")</f>
        <v/>
      </c>
      <c r="F34" s="93"/>
      <c r="G34" s="53" t="str">
        <f t="shared" si="2"/>
        <v/>
      </c>
    </row>
    <row r="35" spans="2:7" x14ac:dyDescent="0.25">
      <c r="B35" s="236" t="s">
        <v>73</v>
      </c>
      <c r="C35" s="237"/>
      <c r="D35" s="237"/>
      <c r="E35" s="237"/>
      <c r="F35" s="237"/>
      <c r="G35" s="80">
        <f>SUM(G25:G34)</f>
        <v>11.328125</v>
      </c>
    </row>
    <row r="37" spans="2:7" ht="45" x14ac:dyDescent="0.25">
      <c r="B37" s="7" t="s">
        <v>103</v>
      </c>
      <c r="C37" s="7" t="s">
        <v>101</v>
      </c>
      <c r="D37" s="188" t="s">
        <v>86</v>
      </c>
      <c r="E37" s="36" t="s">
        <v>87</v>
      </c>
      <c r="F37" s="36" t="s">
        <v>175</v>
      </c>
      <c r="G37" s="36" t="s">
        <v>88</v>
      </c>
    </row>
    <row r="38" spans="2:7" x14ac:dyDescent="0.25">
      <c r="B38" s="93" t="s">
        <v>400</v>
      </c>
      <c r="C38" s="100" t="str">
        <f>IFERROR(VLOOKUP($B38,HerbicideTable[],2,FALSE),"")</f>
        <v>glyphosate</v>
      </c>
      <c r="D38" s="101" t="str">
        <f>IFERROR(VLOOKUP($B38,HerbicideTable[],5,FALSE),"")</f>
        <v>fl oz</v>
      </c>
      <c r="E38" s="98">
        <f>IFERROR(VLOOKUP($B38,HerbicideTable[],7,FALSE),"")</f>
        <v>0.17578125</v>
      </c>
      <c r="F38" s="93">
        <v>32</v>
      </c>
      <c r="G38" s="53">
        <f t="shared" ref="G38:G42" si="3">IFERROR(E38*F38,"")</f>
        <v>5.625</v>
      </c>
    </row>
    <row r="39" spans="2:7" x14ac:dyDescent="0.25">
      <c r="B39" s="93" t="s">
        <v>104</v>
      </c>
      <c r="C39" s="100" t="str">
        <f>IFERROR(VLOOKUP($B39,HerbicideTable[],2,FALSE),"")</f>
        <v>paraquat dichloride</v>
      </c>
      <c r="D39" s="101" t="str">
        <f>IFERROR(VLOOKUP($B39,HerbicideTable[],5,FALSE),"")</f>
        <v>pint</v>
      </c>
      <c r="E39" s="98">
        <f>IFERROR(VLOOKUP($B39,HerbicideTable[],7,FALSE),"")</f>
        <v>6.125</v>
      </c>
      <c r="F39" s="93">
        <v>2.5</v>
      </c>
      <c r="G39" s="53">
        <f t="shared" si="3"/>
        <v>15.3125</v>
      </c>
    </row>
    <row r="40" spans="2:7" x14ac:dyDescent="0.25">
      <c r="B40" s="93" t="s">
        <v>105</v>
      </c>
      <c r="C40" s="100" t="str">
        <f>IFERROR(VLOOKUP($B40,HerbicideTable[],2,FALSE),"")</f>
        <v>S-metolachlor</v>
      </c>
      <c r="D40" s="101" t="str">
        <f>IFERROR(VLOOKUP($B40,HerbicideTable[],5,FALSE),"")</f>
        <v>pint</v>
      </c>
      <c r="E40" s="98">
        <f>IFERROR(VLOOKUP($B40,HerbicideTable[],7,FALSE),"")</f>
        <v>7.0625</v>
      </c>
      <c r="F40" s="93">
        <v>2</v>
      </c>
      <c r="G40" s="53">
        <f t="shared" si="3"/>
        <v>14.125</v>
      </c>
    </row>
    <row r="41" spans="2:7" x14ac:dyDescent="0.25">
      <c r="B41" s="93" t="s">
        <v>106</v>
      </c>
      <c r="C41" s="100" t="str">
        <f>IFERROR(VLOOKUP($B41,HerbicideTable[],2,FALSE),"")</f>
        <v>atrazine</v>
      </c>
      <c r="D41" s="101" t="str">
        <f>IFERROR(VLOOKUP($B41,HerbicideTable[],5,FALSE),"")</f>
        <v>pint</v>
      </c>
      <c r="E41" s="98">
        <f>IFERROR(VLOOKUP($B41,HerbicideTable[],7,FALSE),"")</f>
        <v>2.5</v>
      </c>
      <c r="F41" s="93">
        <v>4</v>
      </c>
      <c r="G41" s="53">
        <f t="shared" si="3"/>
        <v>10</v>
      </c>
    </row>
    <row r="42" spans="2:7" x14ac:dyDescent="0.25">
      <c r="B42" s="93"/>
      <c r="C42" s="100" t="str">
        <f>IFERROR(VLOOKUP($B42,HerbicideTable[],2,FALSE),"")</f>
        <v/>
      </c>
      <c r="D42" s="101" t="str">
        <f>IFERROR(VLOOKUP($B42,HerbicideTable[],5,FALSE),"")</f>
        <v/>
      </c>
      <c r="E42" s="98" t="str">
        <f>IFERROR(VLOOKUP($B42,HerbicideTable[],7,FALSE),"")</f>
        <v/>
      </c>
      <c r="F42" s="93"/>
      <c r="G42" s="53" t="str">
        <f t="shared" si="3"/>
        <v/>
      </c>
    </row>
    <row r="43" spans="2:7" x14ac:dyDescent="0.25">
      <c r="B43" s="236" t="s">
        <v>73</v>
      </c>
      <c r="C43" s="237"/>
      <c r="D43" s="237"/>
      <c r="E43" s="237"/>
      <c r="F43" s="237"/>
      <c r="G43" s="80">
        <f>SUM(G38:G42)</f>
        <v>45.0625</v>
      </c>
    </row>
    <row r="45" spans="2:7" ht="45" x14ac:dyDescent="0.25">
      <c r="B45" s="7" t="s">
        <v>107</v>
      </c>
      <c r="C45" s="7" t="s">
        <v>101</v>
      </c>
      <c r="D45" s="188" t="s">
        <v>86</v>
      </c>
      <c r="E45" s="36" t="s">
        <v>87</v>
      </c>
      <c r="F45" s="36" t="s">
        <v>175</v>
      </c>
      <c r="G45" s="36" t="s">
        <v>88</v>
      </c>
    </row>
    <row r="46" spans="2:7" x14ac:dyDescent="0.25">
      <c r="B46" s="93" t="s">
        <v>108</v>
      </c>
      <c r="C46" s="100" t="str">
        <f>IFERROR(VLOOKUP($B46,InsecticideTable[],2,FALSE),"")</f>
        <v>chlorantraniliprole + lambda-cyhalothrin</v>
      </c>
      <c r="D46" s="101" t="str">
        <f>IFERROR(VLOOKUP($B46,InsecticideTable[],5,FALSE),"")</f>
        <v>fl oz</v>
      </c>
      <c r="E46" s="98">
        <f>IFERROR(VLOOKUP($B46,InsecticideTable[],7,FALSE),"")</f>
        <v>2.01171875</v>
      </c>
      <c r="F46" s="93">
        <v>7</v>
      </c>
      <c r="G46" s="53">
        <f t="shared" ref="G46:G52" si="4">IFERROR(E46*F46,"")</f>
        <v>14.08203125</v>
      </c>
    </row>
    <row r="47" spans="2:7" x14ac:dyDescent="0.25">
      <c r="B47" s="93"/>
      <c r="C47" s="100" t="str">
        <f>IFERROR(VLOOKUP($B47,InsecticideTable[],2,FALSE),"")</f>
        <v/>
      </c>
      <c r="D47" s="101" t="str">
        <f>IFERROR(VLOOKUP($B47,InsecticideTable[],5,FALSE),"")</f>
        <v/>
      </c>
      <c r="E47" s="98" t="str">
        <f>IFERROR(VLOOKUP($B47,InsecticideTable[],7,FALSE),"")</f>
        <v/>
      </c>
      <c r="F47" s="93"/>
      <c r="G47" s="53" t="str">
        <f t="shared" si="4"/>
        <v/>
      </c>
    </row>
    <row r="48" spans="2:7" x14ac:dyDescent="0.25">
      <c r="B48" s="93"/>
      <c r="C48" s="100" t="str">
        <f>IFERROR(VLOOKUP($B48,InsecticideTable[],2,FALSE),"")</f>
        <v/>
      </c>
      <c r="D48" s="101" t="str">
        <f>IFERROR(VLOOKUP($B48,InsecticideTable[],5,FALSE),"")</f>
        <v/>
      </c>
      <c r="E48" s="98" t="str">
        <f>IFERROR(VLOOKUP($B48,InsecticideTable[],7,FALSE),"")</f>
        <v/>
      </c>
      <c r="F48" s="93"/>
      <c r="G48" s="53" t="str">
        <f t="shared" si="4"/>
        <v/>
      </c>
    </row>
    <row r="49" spans="2:7" x14ac:dyDescent="0.25">
      <c r="B49" s="93"/>
      <c r="C49" s="100" t="str">
        <f>IFERROR(VLOOKUP($B49,InsecticideTable[],2,FALSE),"")</f>
        <v/>
      </c>
      <c r="D49" s="101" t="str">
        <f>IFERROR(VLOOKUP($B49,InsecticideTable[],5,FALSE),"")</f>
        <v/>
      </c>
      <c r="E49" s="98" t="str">
        <f>IFERROR(VLOOKUP($B49,InsecticideTable[],7,FALSE),"")</f>
        <v/>
      </c>
      <c r="F49" s="93"/>
      <c r="G49" s="53" t="str">
        <f t="shared" si="4"/>
        <v/>
      </c>
    </row>
    <row r="50" spans="2:7" x14ac:dyDescent="0.25">
      <c r="B50" s="93"/>
      <c r="C50" s="100" t="str">
        <f>IFERROR(VLOOKUP($B50,InsecticideTable[],2,FALSE),"")</f>
        <v/>
      </c>
      <c r="D50" s="101" t="str">
        <f>IFERROR(VLOOKUP($B50,InsecticideTable[],5,FALSE),"")</f>
        <v/>
      </c>
      <c r="E50" s="98" t="str">
        <f>IFERROR(VLOOKUP($B50,InsecticideTable[],7,FALSE),"")</f>
        <v/>
      </c>
      <c r="F50" s="93"/>
      <c r="G50" s="53" t="str">
        <f t="shared" si="4"/>
        <v/>
      </c>
    </row>
    <row r="51" spans="2:7" x14ac:dyDescent="0.25">
      <c r="B51" s="93"/>
      <c r="C51" s="100" t="str">
        <f>IFERROR(VLOOKUP($B51,InsecticideTable[],2,FALSE),"")</f>
        <v/>
      </c>
      <c r="D51" s="101" t="str">
        <f>IFERROR(VLOOKUP($B51,InsecticideTable[],5,FALSE),"")</f>
        <v/>
      </c>
      <c r="E51" s="98" t="str">
        <f>IFERROR(VLOOKUP($B51,InsecticideTable[],7,FALSE),"")</f>
        <v/>
      </c>
      <c r="F51" s="93"/>
      <c r="G51" s="53" t="str">
        <f t="shared" si="4"/>
        <v/>
      </c>
    </row>
    <row r="52" spans="2:7" x14ac:dyDescent="0.25">
      <c r="B52" s="93"/>
      <c r="C52" s="100" t="str">
        <f>IFERROR(VLOOKUP($B52,InsecticideTable[],2,FALSE),"")</f>
        <v/>
      </c>
      <c r="D52" s="101" t="str">
        <f>IFERROR(VLOOKUP($B52,InsecticideTable[],5,FALSE),"")</f>
        <v/>
      </c>
      <c r="E52" s="98" t="str">
        <f>IFERROR(VLOOKUP($B52,InsecticideTable[],7,FALSE),"")</f>
        <v/>
      </c>
      <c r="F52" s="93"/>
      <c r="G52" s="53" t="str">
        <f t="shared" si="4"/>
        <v/>
      </c>
    </row>
    <row r="53" spans="2:7" x14ac:dyDescent="0.25">
      <c r="B53" s="236" t="s">
        <v>73</v>
      </c>
      <c r="C53" s="237"/>
      <c r="D53" s="237"/>
      <c r="E53" s="237"/>
      <c r="F53" s="237"/>
      <c r="G53" s="80">
        <f>SUM(G46:G52)</f>
        <v>14.08203125</v>
      </c>
    </row>
    <row r="55" spans="2:7" ht="45" x14ac:dyDescent="0.25">
      <c r="B55" s="7" t="s">
        <v>109</v>
      </c>
      <c r="C55" s="7" t="s">
        <v>101</v>
      </c>
      <c r="D55" s="188" t="s">
        <v>86</v>
      </c>
      <c r="E55" s="36" t="s">
        <v>87</v>
      </c>
      <c r="F55" s="36" t="s">
        <v>175</v>
      </c>
      <c r="G55" s="36" t="s">
        <v>88</v>
      </c>
    </row>
    <row r="56" spans="2:7" x14ac:dyDescent="0.25">
      <c r="B56" s="93" t="s">
        <v>110</v>
      </c>
      <c r="C56" s="100" t="str">
        <f>IFERROR(VLOOKUP($B56,NematicideTable[],2,FALSE),"")</f>
        <v>terbufos</v>
      </c>
      <c r="D56" s="101" t="str">
        <f>IFERROR(VLOOKUP($B56,NematicideTable[],5,FALSE),"")</f>
        <v>oz</v>
      </c>
      <c r="E56" s="98">
        <f>IFERROR(VLOOKUP($B56,NematicideTable[],7,FALSE),"")</f>
        <v>0.29749999999999999</v>
      </c>
      <c r="F56" s="93">
        <v>86</v>
      </c>
      <c r="G56" s="53">
        <f t="shared" ref="G56:G58" si="5">IFERROR(E56*F56,"")</f>
        <v>25.584999999999997</v>
      </c>
    </row>
    <row r="57" spans="2:7" x14ac:dyDescent="0.25">
      <c r="B57" s="93"/>
      <c r="C57" s="100" t="str">
        <f>IFERROR(VLOOKUP($B57,NematicideTable[],2,FALSE),"")</f>
        <v/>
      </c>
      <c r="D57" s="101" t="str">
        <f>IFERROR(VLOOKUP($B57,NematicideTable[],5,FALSE),"")</f>
        <v/>
      </c>
      <c r="E57" s="98" t="str">
        <f>IFERROR(VLOOKUP($B57,NematicideTable[],7,FALSE),"")</f>
        <v/>
      </c>
      <c r="F57" s="93"/>
      <c r="G57" s="53" t="str">
        <f t="shared" si="5"/>
        <v/>
      </c>
    </row>
    <row r="58" spans="2:7" x14ac:dyDescent="0.25">
      <c r="B58" s="93"/>
      <c r="C58" s="100" t="str">
        <f>IFERROR(VLOOKUP($B58,NematicideTable[],2,FALSE),"")</f>
        <v/>
      </c>
      <c r="D58" s="101" t="str">
        <f>IFERROR(VLOOKUP($B58,NematicideTable[],5,FALSE),"")</f>
        <v/>
      </c>
      <c r="E58" s="98" t="str">
        <f>IFERROR(VLOOKUP($B58,NematicideTable[],7,FALSE),"")</f>
        <v/>
      </c>
      <c r="F58" s="93"/>
      <c r="G58" s="53" t="str">
        <f t="shared" si="5"/>
        <v/>
      </c>
    </row>
    <row r="59" spans="2:7" x14ac:dyDescent="0.25">
      <c r="B59" s="236" t="s">
        <v>73</v>
      </c>
      <c r="C59" s="237"/>
      <c r="D59" s="237"/>
      <c r="E59" s="237"/>
      <c r="F59" s="237"/>
      <c r="G59" s="80">
        <f>SUM(G56:G58)</f>
        <v>25.584999999999997</v>
      </c>
    </row>
    <row r="61" spans="2:7" ht="45" x14ac:dyDescent="0.25">
      <c r="B61" s="7" t="s">
        <v>111</v>
      </c>
      <c r="C61" s="7" t="s">
        <v>85</v>
      </c>
      <c r="D61" s="188" t="s">
        <v>86</v>
      </c>
      <c r="E61" s="36" t="s">
        <v>87</v>
      </c>
      <c r="F61" s="36" t="s">
        <v>175</v>
      </c>
      <c r="G61" s="36" t="s">
        <v>88</v>
      </c>
    </row>
    <row r="62" spans="2:7" x14ac:dyDescent="0.25">
      <c r="B62" s="93" t="s">
        <v>112</v>
      </c>
      <c r="C62" s="100" t="str">
        <f>IFERROR(VLOOKUP($B62,OtherMaterialTable[],2,FALSE),"")</f>
        <v>Tank mix with chemical sprays</v>
      </c>
      <c r="D62" s="101" t="str">
        <f>IFERROR(VLOOKUP($B62,OtherMaterialTable[],5,FALSE),"")</f>
        <v>pint</v>
      </c>
      <c r="E62" s="98">
        <f>IFERROR(VLOOKUP($B62,OtherMaterialTable[],7,FALSE),"")</f>
        <v>2.40625</v>
      </c>
      <c r="F62" s="93">
        <v>2</v>
      </c>
      <c r="G62" s="53">
        <f t="shared" ref="G62:G71" si="6">IFERROR(E62*F62,"")</f>
        <v>4.8125</v>
      </c>
    </row>
    <row r="63" spans="2:7" x14ac:dyDescent="0.25">
      <c r="B63" s="93" t="s">
        <v>448</v>
      </c>
      <c r="C63" s="100" t="str">
        <f>IFERROR(VLOOKUP($B63,OtherMaterialTable[],2,FALSE),"")</f>
        <v>Fall/winter prior to corn planting</v>
      </c>
      <c r="D63" s="101" t="str">
        <f>IFERROR(VLOOKUP($B63,OtherMaterialTable[],5,FALSE),"")</f>
        <v>pound</v>
      </c>
      <c r="E63" s="98">
        <f>IFERROR(VLOOKUP($B63,OtherMaterialTable[],7,FALSE),"")</f>
        <v>0.45</v>
      </c>
      <c r="F63" s="93">
        <v>80</v>
      </c>
      <c r="G63" s="53">
        <f t="shared" si="6"/>
        <v>36</v>
      </c>
    </row>
    <row r="64" spans="2:7" x14ac:dyDescent="0.25">
      <c r="B64" s="93"/>
      <c r="C64" s="100" t="str">
        <f>IFERROR(VLOOKUP($B64,OtherMaterialTable[],2,FALSE),"")</f>
        <v/>
      </c>
      <c r="D64" s="101" t="str">
        <f>IFERROR(VLOOKUP($B64,OtherMaterialTable[],5,FALSE),"")</f>
        <v/>
      </c>
      <c r="E64" s="98" t="str">
        <f>IFERROR(VLOOKUP($B64,OtherMaterialTable[],7,FALSE),"")</f>
        <v/>
      </c>
      <c r="F64" s="93"/>
      <c r="G64" s="53" t="str">
        <f t="shared" si="6"/>
        <v/>
      </c>
    </row>
    <row r="65" spans="2:7" x14ac:dyDescent="0.25">
      <c r="B65" s="93"/>
      <c r="C65" s="100" t="str">
        <f>IFERROR(VLOOKUP($B65,OtherMaterialTable[],2,FALSE),"")</f>
        <v/>
      </c>
      <c r="D65" s="101" t="str">
        <f>IFERROR(VLOOKUP($B65,OtherMaterialTable[],5,FALSE),"")</f>
        <v/>
      </c>
      <c r="E65" s="98" t="str">
        <f>IFERROR(VLOOKUP($B65,OtherMaterialTable[],7,FALSE),"")</f>
        <v/>
      </c>
      <c r="F65" s="93"/>
      <c r="G65" s="53" t="str">
        <f t="shared" si="6"/>
        <v/>
      </c>
    </row>
    <row r="66" spans="2:7" x14ac:dyDescent="0.25">
      <c r="B66" s="93"/>
      <c r="C66" s="100" t="str">
        <f>IFERROR(VLOOKUP($B66,OtherMaterialTable[],2,FALSE),"")</f>
        <v/>
      </c>
      <c r="D66" s="101" t="str">
        <f>IFERROR(VLOOKUP($B66,OtherMaterialTable[],5,FALSE),"")</f>
        <v/>
      </c>
      <c r="E66" s="98" t="str">
        <f>IFERROR(VLOOKUP($B66,OtherMaterialTable[],7,FALSE),"")</f>
        <v/>
      </c>
      <c r="F66" s="93"/>
      <c r="G66" s="53" t="str">
        <f t="shared" si="6"/>
        <v/>
      </c>
    </row>
    <row r="67" spans="2:7" x14ac:dyDescent="0.25">
      <c r="B67" s="93"/>
      <c r="C67" s="100" t="str">
        <f>IFERROR(VLOOKUP($B67,OtherMaterialTable[],2,FALSE),"")</f>
        <v/>
      </c>
      <c r="D67" s="101" t="str">
        <f>IFERROR(VLOOKUP($B67,OtherMaterialTable[],5,FALSE),"")</f>
        <v/>
      </c>
      <c r="E67" s="98" t="str">
        <f>IFERROR(VLOOKUP($B67,OtherMaterialTable[],7,FALSE),"")</f>
        <v/>
      </c>
      <c r="F67" s="93"/>
      <c r="G67" s="53" t="str">
        <f t="shared" si="6"/>
        <v/>
      </c>
    </row>
    <row r="68" spans="2:7" x14ac:dyDescent="0.25">
      <c r="B68" s="93"/>
      <c r="C68" s="100" t="str">
        <f>IFERROR(VLOOKUP($B68,OtherMaterialTable[],2,FALSE),"")</f>
        <v/>
      </c>
      <c r="D68" s="101" t="str">
        <f>IFERROR(VLOOKUP($B68,OtherMaterialTable[],5,FALSE),"")</f>
        <v/>
      </c>
      <c r="E68" s="98" t="str">
        <f>IFERROR(VLOOKUP($B68,OtherMaterialTable[],7,FALSE),"")</f>
        <v/>
      </c>
      <c r="F68" s="93"/>
      <c r="G68" s="53" t="str">
        <f t="shared" si="6"/>
        <v/>
      </c>
    </row>
    <row r="69" spans="2:7" x14ac:dyDescent="0.25">
      <c r="B69" s="93"/>
      <c r="C69" s="100" t="str">
        <f>IFERROR(VLOOKUP($B69,OtherMaterialTable[],2,FALSE),"")</f>
        <v/>
      </c>
      <c r="D69" s="101" t="str">
        <f>IFERROR(VLOOKUP($B69,OtherMaterialTable[],5,FALSE),"")</f>
        <v/>
      </c>
      <c r="E69" s="98" t="str">
        <f>IFERROR(VLOOKUP($B69,OtherMaterialTable[],7,FALSE),"")</f>
        <v/>
      </c>
      <c r="F69" s="93"/>
      <c r="G69" s="53" t="str">
        <f t="shared" si="6"/>
        <v/>
      </c>
    </row>
    <row r="70" spans="2:7" x14ac:dyDescent="0.25">
      <c r="B70" s="93"/>
      <c r="C70" s="100" t="str">
        <f>IFERROR(VLOOKUP($B70,OtherMaterialTable[],2,FALSE),"")</f>
        <v/>
      </c>
      <c r="D70" s="101" t="str">
        <f>IFERROR(VLOOKUP($B70,OtherMaterialTable[],5,FALSE),"")</f>
        <v/>
      </c>
      <c r="E70" s="98" t="str">
        <f>IFERROR(VLOOKUP($B70,OtherMaterialTable[],7,FALSE),"")</f>
        <v/>
      </c>
      <c r="F70" s="93"/>
      <c r="G70" s="53" t="str">
        <f t="shared" si="6"/>
        <v/>
      </c>
    </row>
    <row r="71" spans="2:7" x14ac:dyDescent="0.25">
      <c r="B71" s="93"/>
      <c r="C71" s="100" t="str">
        <f>IFERROR(VLOOKUP($B71,OtherMaterialTable[],2,FALSE),"")</f>
        <v/>
      </c>
      <c r="D71" s="101" t="str">
        <f>IFERROR(VLOOKUP($B71,OtherMaterialTable[],5,FALSE),"")</f>
        <v/>
      </c>
      <c r="E71" s="98" t="str">
        <f>IFERROR(VLOOKUP($B71,OtherMaterialTable[],7,FALSE),"")</f>
        <v/>
      </c>
      <c r="F71" s="93"/>
      <c r="G71" s="53" t="str">
        <f t="shared" si="6"/>
        <v/>
      </c>
    </row>
    <row r="72" spans="2:7" x14ac:dyDescent="0.25">
      <c r="B72" s="236" t="s">
        <v>73</v>
      </c>
      <c r="C72" s="237"/>
      <c r="D72" s="237"/>
      <c r="E72" s="237"/>
      <c r="F72" s="237"/>
      <c r="G72" s="80">
        <f>SUM(G62:G71)</f>
        <v>40.8125</v>
      </c>
    </row>
    <row r="74" spans="2:7" x14ac:dyDescent="0.25">
      <c r="B74" s="26"/>
      <c r="C74" s="26"/>
      <c r="D74" s="26"/>
      <c r="E74" s="26"/>
      <c r="F74" s="26"/>
      <c r="G74" s="26"/>
    </row>
    <row r="75" spans="2:7" x14ac:dyDescent="0.25">
      <c r="B75" s="26"/>
      <c r="C75" s="26"/>
      <c r="D75" s="26"/>
      <c r="E75" s="26"/>
      <c r="F75" s="26"/>
      <c r="G75" s="26"/>
    </row>
    <row r="76" spans="2:7" x14ac:dyDescent="0.25">
      <c r="B76" s="26"/>
      <c r="C76" s="26"/>
      <c r="D76" s="26"/>
      <c r="E76" s="26"/>
      <c r="F76" s="26"/>
      <c r="G76" s="26"/>
    </row>
    <row r="77" spans="2:7" x14ac:dyDescent="0.25">
      <c r="B77" s="26"/>
      <c r="C77" s="26"/>
      <c r="D77" s="26"/>
      <c r="E77" s="26"/>
      <c r="F77" s="26"/>
      <c r="G77" s="26"/>
    </row>
    <row r="78" spans="2:7" x14ac:dyDescent="0.25">
      <c r="B78" s="26"/>
      <c r="C78" s="26"/>
      <c r="D78" s="26"/>
      <c r="E78" s="26"/>
      <c r="F78" s="26"/>
      <c r="G78" s="26"/>
    </row>
    <row r="79" spans="2:7" x14ac:dyDescent="0.25">
      <c r="B79" s="26"/>
      <c r="C79" s="26"/>
      <c r="D79" s="26"/>
      <c r="E79" s="26"/>
      <c r="F79" s="26"/>
      <c r="G79" s="26"/>
    </row>
    <row r="80" spans="2:7" x14ac:dyDescent="0.25">
      <c r="B80" s="26"/>
      <c r="C80" s="26"/>
      <c r="D80" s="26"/>
      <c r="E80" s="26"/>
      <c r="F80" s="26"/>
      <c r="G80" s="26"/>
    </row>
    <row r="81" spans="2:7" x14ac:dyDescent="0.25">
      <c r="B81" s="26"/>
      <c r="C81" s="26"/>
      <c r="D81" s="26"/>
      <c r="E81" s="26"/>
      <c r="F81" s="26"/>
      <c r="G81" s="26"/>
    </row>
  </sheetData>
  <sheetProtection algorithmName="SHA-512" hashValue="i+YQtWArecMUoS8tXkfUpk9gX8EtU3qeEmPDRNUTilkuPAsH6aULJjFUArbIYvpKTBOIc+yaLZItvAp3FYpsLg==" saltValue="9CWFSbLCMuALYsKDV3bimQ=="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35" t="s">
        <v>113</v>
      </c>
      <c r="C1" s="235"/>
      <c r="D1" s="235"/>
      <c r="E1" s="235"/>
      <c r="F1" s="235"/>
      <c r="G1" s="235"/>
      <c r="H1" s="235"/>
      <c r="I1" s="235"/>
      <c r="J1" s="235"/>
      <c r="K1" s="235"/>
      <c r="L1" s="235"/>
      <c r="M1" s="235"/>
      <c r="N1" s="235"/>
    </row>
    <row r="3" spans="1:14" x14ac:dyDescent="0.25">
      <c r="B3" s="248" t="s">
        <v>114</v>
      </c>
      <c r="C3" s="248"/>
      <c r="D3" s="248"/>
      <c r="E3" s="248"/>
      <c r="F3" s="248"/>
      <c r="G3" s="248"/>
      <c r="H3" s="248"/>
      <c r="I3" s="248"/>
      <c r="J3" s="248"/>
      <c r="K3" s="248"/>
      <c r="L3" s="248"/>
      <c r="M3" s="248"/>
      <c r="N3" s="248"/>
    </row>
    <row r="4" spans="1:14" ht="45" customHeight="1" x14ac:dyDescent="0.25">
      <c r="A4" s="29"/>
      <c r="B4" s="27" t="s">
        <v>115</v>
      </c>
      <c r="C4" s="27" t="s">
        <v>116</v>
      </c>
      <c r="D4" s="32" t="s">
        <v>117</v>
      </c>
      <c r="E4" s="33" t="s">
        <v>118</v>
      </c>
      <c r="F4" s="33" t="s">
        <v>119</v>
      </c>
      <c r="G4" s="34" t="s">
        <v>120</v>
      </c>
      <c r="H4" s="35" t="s">
        <v>121</v>
      </c>
      <c r="I4" s="36" t="s">
        <v>122</v>
      </c>
      <c r="J4" s="36" t="s">
        <v>123</v>
      </c>
      <c r="K4" s="34" t="s">
        <v>124</v>
      </c>
      <c r="L4" s="35" t="s">
        <v>125</v>
      </c>
      <c r="M4" s="36" t="s">
        <v>126</v>
      </c>
      <c r="N4" s="36" t="s">
        <v>127</v>
      </c>
    </row>
    <row r="5" spans="1:14" x14ac:dyDescent="0.25">
      <c r="B5" s="109" t="s">
        <v>128</v>
      </c>
      <c r="C5" s="93" t="s">
        <v>129</v>
      </c>
      <c r="D5" s="93" t="s">
        <v>130</v>
      </c>
      <c r="E5" s="186">
        <f>IFERROR(((43560*Planted_Acres)/VLOOKUP(D5,ImplementTable[],3,0))/(5280*VLOOKUP(D5,ImplementTable[],4,0))*1.1,"")</f>
        <v>11.55</v>
      </c>
      <c r="F5" s="186">
        <f>IFERROR(0.5+(E5*0.2),"")</f>
        <v>2.81</v>
      </c>
      <c r="G5" s="110" t="s">
        <v>131</v>
      </c>
      <c r="H5" s="111">
        <f>IFERROR(((IF(E5="",0,E5)+IF(F5="",0,F5))/Planted_Acres)*VLOOKUP(G5,LaborTable[],4,0),"")</f>
        <v>2.4334045714285715</v>
      </c>
      <c r="I5" s="98">
        <f>IFERROR(VLOOKUP(VLOOKUP(C5,TractorTable[],3,0),FuelTable[],2,0)*VLOOKUP(C5,TractorTable[],15,0)*(E5/Planted_Acres),"")</f>
        <v>3.5068475474999996</v>
      </c>
      <c r="J5" s="98">
        <f>IFERROR((IF(ISBLANK(C5),0,(VLOOKUP(C5,TractorTable[],14,0)))+IF(ISBLANK(D5),0,VLOOKUP(D5,ImplementTable[],14,0)))*(E5/Planted_Acres),"")</f>
        <v>4.0083492700588934</v>
      </c>
      <c r="K5" s="112">
        <f>SUM(H5:J5)</f>
        <v>9.9486013889874645</v>
      </c>
      <c r="L5" s="113">
        <v>1</v>
      </c>
      <c r="M5" s="98">
        <f>K5*L5</f>
        <v>9.9486013889874645</v>
      </c>
      <c r="N5" s="98">
        <f>IFERROR((IF(ISBLANK(C5),0,VLOOKUP(C5,TractorTable[],13,0))+IF(ISBLANK(D5),0,VLOOKUP(D5,ImplementTable[],13,0)))*((E5*L5)/Planted_Acres),"")</f>
        <v>13.930433561877154</v>
      </c>
    </row>
    <row r="6" spans="1:14" x14ac:dyDescent="0.25">
      <c r="B6" s="93" t="s">
        <v>641</v>
      </c>
      <c r="C6" s="93" t="s">
        <v>132</v>
      </c>
      <c r="D6" s="93" t="s">
        <v>133</v>
      </c>
      <c r="E6" s="186">
        <f>IFERROR(((43560*Planted_Acres)/VLOOKUP(D6,ImplementTable[],3,0))/(5280*VLOOKUP(D6,ImplementTable[],4,0))*1.1,"")</f>
        <v>3.63</v>
      </c>
      <c r="F6" s="186">
        <f t="shared" ref="F6:F24" si="0">IFERROR(0.5+(E6*0.2),"")</f>
        <v>1.226</v>
      </c>
      <c r="G6" s="110" t="s">
        <v>131</v>
      </c>
      <c r="H6" s="111">
        <f>IFERROR(((IF(E6="",0,E6)+IF(F6="",0,F6))/Planted_Acres)*VLOOKUP(G6,LaborTable[],4,0),"")</f>
        <v>0.82288388571428572</v>
      </c>
      <c r="I6" s="98">
        <f>IFERROR(VLOOKUP(VLOOKUP(C6,TractorTable[],3,0),FuelTable[],2,0)*VLOOKUP(C6,TractorTable[],15,0)*(E6/Planted_Acres),"")</f>
        <v>0.89312324239285712</v>
      </c>
      <c r="J6" s="98">
        <f>IFERROR((IF(ISBLANK(C6),0,(VLOOKUP(C6,TractorTable[],14,0)))+IF(ISBLANK(D6),0,VLOOKUP(D6,ImplementTable[],14,0)))*(E6/Planted_Acres),"")</f>
        <v>1.3492558625149373</v>
      </c>
      <c r="K6" s="112">
        <f t="shared" ref="K6:K24" si="1">SUM(H6:J6)</f>
        <v>3.0652629906220801</v>
      </c>
      <c r="L6" s="113">
        <v>1</v>
      </c>
      <c r="M6" s="98">
        <f t="shared" ref="M6:M24" si="2">K6*L6</f>
        <v>3.0652629906220801</v>
      </c>
      <c r="N6" s="98">
        <f>IFERROR((IF(ISBLANK(C6),0,VLOOKUP(C6,TractorTable[],13,0))+IF(ISBLANK(D6),0,VLOOKUP(D6,ImplementTable[],13,0)))*((E6*L6)/Planted_Acres),"")</f>
        <v>3.2529102661435658</v>
      </c>
    </row>
    <row r="7" spans="1:14" x14ac:dyDescent="0.25">
      <c r="B7" s="109" t="s">
        <v>642</v>
      </c>
      <c r="C7" s="93" t="s">
        <v>132</v>
      </c>
      <c r="D7" s="93" t="s">
        <v>528</v>
      </c>
      <c r="E7" s="186">
        <f>IFERROR(((43560*Planted_Acres)/VLOOKUP(D7,ImplementTable[],3,0))/(5280*VLOOKUP(D7,ImplementTable[],4,0))*1.1,"")</f>
        <v>6.4821428571428577</v>
      </c>
      <c r="F7" s="186">
        <f t="shared" si="0"/>
        <v>1.7964285714285717</v>
      </c>
      <c r="G7" s="110" t="s">
        <v>131</v>
      </c>
      <c r="H7" s="111">
        <f>IFERROR(((IF(E7="",0,E7)+IF(F7="",0,F7))/Planted_Acres)*VLOOKUP(G7,LaborTable[],4,0),"")</f>
        <v>1.4028630612244899</v>
      </c>
      <c r="I7" s="98">
        <f>IFERROR(VLOOKUP(VLOOKUP(C7,TractorTable[],3,0),FuelTable[],2,0)*VLOOKUP(C7,TractorTable[],15,0)*(E7/Planted_Acres),"")</f>
        <v>1.594862932844388</v>
      </c>
      <c r="J7" s="98">
        <f>IFERROR((IF(ISBLANK(C7),0,(VLOOKUP(C7,TractorTable[],14,0)))+IF(ISBLANK(D7),0,VLOOKUP(D7,ImplementTable[],14,0)))*(E7/Planted_Acres),"")</f>
        <v>1.8910988476370483</v>
      </c>
      <c r="K7" s="112">
        <f t="shared" si="1"/>
        <v>4.8888248417059259</v>
      </c>
      <c r="L7" s="113">
        <v>1</v>
      </c>
      <c r="M7" s="98">
        <f t="shared" si="2"/>
        <v>4.8888248417059259</v>
      </c>
      <c r="N7" s="98">
        <f>IFERROR((IF(ISBLANK(C7),0,VLOOKUP(C7,TractorTable[],13,0))+IF(ISBLANK(D7),0,VLOOKUP(D7,ImplementTable[],13,0)))*((E7*L7)/Planted_Acres),"")</f>
        <v>5.8583661837286876</v>
      </c>
    </row>
    <row r="8" spans="1:14" x14ac:dyDescent="0.25">
      <c r="B8" s="93" t="s">
        <v>636</v>
      </c>
      <c r="C8" s="93" t="s">
        <v>136</v>
      </c>
      <c r="D8" s="93"/>
      <c r="E8" s="186">
        <f>2+0.5</f>
        <v>2.5</v>
      </c>
      <c r="F8" s="186">
        <f t="shared" si="0"/>
        <v>1</v>
      </c>
      <c r="G8" s="110" t="s">
        <v>131</v>
      </c>
      <c r="H8" s="111">
        <f>IFERROR(((IF(E8="",0,E8)+IF(F8="",0,F8))/Planted_Acres)*VLOOKUP(G8,LaborTable[],4,0),"")</f>
        <v>0.59310000000000007</v>
      </c>
      <c r="I8" s="98">
        <f>IFERROR(VLOOKUP(VLOOKUP(C8,TractorTable[],3,0),FuelTable[],2,0)*VLOOKUP(C8,TractorTable[],15,0)*(E8/Planted_Acres),"")</f>
        <v>0.62818585714285702</v>
      </c>
      <c r="J8" s="98">
        <f>IFERROR((IF(ISBLANK(C8),0,(VLOOKUP(C8,TractorTable[],14,0)))+IF(ISBLANK(D8),0,VLOOKUP(D8,ImplementTable[],14,0)))*(E8/Planted_Acres),"")</f>
        <v>7.363414285714287E-2</v>
      </c>
      <c r="K8" s="112">
        <f t="shared" si="1"/>
        <v>1.2949199999999998</v>
      </c>
      <c r="L8" s="113">
        <v>1</v>
      </c>
      <c r="M8" s="98">
        <f t="shared" si="2"/>
        <v>1.2949199999999998</v>
      </c>
      <c r="N8" s="98">
        <f>IFERROR((IF(ISBLANK(C8),0,VLOOKUP(C8,TractorTable[],13,0))+IF(ISBLANK(D8),0,VLOOKUP(D8,ImplementTable[],13,0)))*((E8*L8)/Planted_Acres),"")</f>
        <v>5.0219316139243126</v>
      </c>
    </row>
    <row r="9" spans="1:14" x14ac:dyDescent="0.25">
      <c r="B9" s="93" t="s">
        <v>134</v>
      </c>
      <c r="C9" s="93" t="s">
        <v>132</v>
      </c>
      <c r="D9" s="93" t="s">
        <v>133</v>
      </c>
      <c r="E9" s="186">
        <f>IFERROR(((43560*Planted_Acres)/VLOOKUP(D9,ImplementTable[],3,0))/(5280*VLOOKUP(D9,ImplementTable[],4,0))*1.1,"")</f>
        <v>3.63</v>
      </c>
      <c r="F9" s="186">
        <f t="shared" si="0"/>
        <v>1.226</v>
      </c>
      <c r="G9" s="110" t="s">
        <v>131</v>
      </c>
      <c r="H9" s="111">
        <f>IFERROR(((IF(E9="",0,E9)+IF(F9="",0,F9))/Planted_Acres)*VLOOKUP(G9,LaborTable[],4,0),"")</f>
        <v>0.82288388571428572</v>
      </c>
      <c r="I9" s="98">
        <f>IFERROR(VLOOKUP(VLOOKUP(C9,TractorTable[],3,0),FuelTable[],2,0)*VLOOKUP(C9,TractorTable[],15,0)*(E9/Planted_Acres),"")</f>
        <v>0.89312324239285712</v>
      </c>
      <c r="J9" s="98">
        <f>IFERROR((IF(ISBLANK(C9),0,(VLOOKUP(C9,TractorTable[],14,0)))+IF(ISBLANK(D9),0,VLOOKUP(D9,ImplementTable[],14,0)))*(E9/Planted_Acres),"")</f>
        <v>1.3492558625149373</v>
      </c>
      <c r="K9" s="112">
        <f t="shared" si="1"/>
        <v>3.0652629906220801</v>
      </c>
      <c r="L9" s="113">
        <v>2</v>
      </c>
      <c r="M9" s="98">
        <f t="shared" si="2"/>
        <v>6.1305259812441601</v>
      </c>
      <c r="N9" s="98">
        <f>IFERROR((IF(ISBLANK(C9),0,VLOOKUP(C9,TractorTable[],13,0))+IF(ISBLANK(D9),0,VLOOKUP(D9,ImplementTable[],13,0)))*((E9*L9)/Planted_Acres),"")</f>
        <v>6.5058205322871316</v>
      </c>
    </row>
    <row r="10" spans="1:14" x14ac:dyDescent="0.25">
      <c r="B10" s="93" t="s">
        <v>135</v>
      </c>
      <c r="C10" s="93" t="s">
        <v>136</v>
      </c>
      <c r="D10" s="93"/>
      <c r="E10" s="186">
        <f>2+0.5</f>
        <v>2.5</v>
      </c>
      <c r="F10" s="186">
        <f t="shared" si="0"/>
        <v>1</v>
      </c>
      <c r="G10" s="110" t="s">
        <v>131</v>
      </c>
      <c r="H10" s="111">
        <f>IFERROR(((IF(E10="",0,E10)+IF(F10="",0,F10))/Planted_Acres)*VLOOKUP(G10,LaborTable[],4,0),"")</f>
        <v>0.59310000000000007</v>
      </c>
      <c r="I10" s="98">
        <f>IFERROR(VLOOKUP(VLOOKUP(C10,TractorTable[],3,0),FuelTable[],2,0)*VLOOKUP(C10,TractorTable[],15,0)*(E10/Planted_Acres),"")</f>
        <v>0.62818585714285702</v>
      </c>
      <c r="J10" s="98">
        <f>IFERROR((IF(ISBLANK(C10),0,(VLOOKUP(C10,TractorTable[],14,0)))+IF(ISBLANK(D10),0,VLOOKUP(D10,ImplementTable[],14,0)))*(E10/Planted_Acres),"")</f>
        <v>7.363414285714287E-2</v>
      </c>
      <c r="K10" s="112">
        <f t="shared" si="1"/>
        <v>1.2949199999999998</v>
      </c>
      <c r="L10" s="113">
        <v>4</v>
      </c>
      <c r="M10" s="98">
        <f t="shared" si="2"/>
        <v>5.1796799999999994</v>
      </c>
      <c r="N10" s="98">
        <f>IFERROR((IF(ISBLANK(C10),0,VLOOKUP(C10,TractorTable[],13,0))+IF(ISBLANK(D10),0,VLOOKUP(D10,ImplementTable[],13,0)))*((E10*L10)/Planted_Acres),"")</f>
        <v>20.087726455697251</v>
      </c>
    </row>
    <row r="11" spans="1:14" x14ac:dyDescent="0.25">
      <c r="B11" s="93" t="s">
        <v>638</v>
      </c>
      <c r="C11" s="93" t="s">
        <v>484</v>
      </c>
      <c r="D11" s="93" t="s">
        <v>138</v>
      </c>
      <c r="E11" s="186">
        <v>2</v>
      </c>
      <c r="F11" s="186">
        <f t="shared" si="0"/>
        <v>0.9</v>
      </c>
      <c r="G11" s="110" t="s">
        <v>131</v>
      </c>
      <c r="H11" s="111">
        <f>IFERROR(((IF(E11="",0,E11)+IF(F11="",0,F11))/Planted_Acres)*VLOOKUP(G11,LaborTable[],4,0),"")</f>
        <v>0.49142571428571424</v>
      </c>
      <c r="I11" s="98">
        <f>IFERROR(VLOOKUP(VLOOKUP(C11,TractorTable[],3,0),FuelTable[],2,0)*VLOOKUP(C11,TractorTable[],15,0)*(E11/Planted_Acres),"")</f>
        <v>0.43973010000000001</v>
      </c>
      <c r="J11" s="98">
        <f>IFERROR((IF(ISBLANK(C11),0,(VLOOKUP(C11,TractorTable[],14,0)))+IF(ISBLANK(D11),0,VLOOKUP(D11,ImplementTable[],14,0)))*(E11/Planted_Acres),"")</f>
        <v>0.30310713480014423</v>
      </c>
      <c r="K11" s="112">
        <f t="shared" si="1"/>
        <v>1.2342629490858585</v>
      </c>
      <c r="L11" s="113">
        <v>5</v>
      </c>
      <c r="M11" s="98">
        <f t="shared" si="2"/>
        <v>6.1713147454292923</v>
      </c>
      <c r="N11" s="98">
        <f>IFERROR((IF(ISBLANK(C11),0,VLOOKUP(C11,TractorTable[],13,0))+IF(ISBLANK(D11),0,VLOOKUP(D11,ImplementTable[],13,0)))*((E11*L11)/Planted_Acres),"")</f>
        <v>4.1582289006563515</v>
      </c>
    </row>
    <row r="12" spans="1:14" x14ac:dyDescent="0.25">
      <c r="B12" s="93" t="s">
        <v>137</v>
      </c>
      <c r="C12" s="93" t="s">
        <v>484</v>
      </c>
      <c r="D12" s="93" t="s">
        <v>138</v>
      </c>
      <c r="E12" s="186">
        <v>1</v>
      </c>
      <c r="F12" s="186">
        <f t="shared" ref="F12:F15" si="3">IFERROR(0.5+(E12*0.2),"")</f>
        <v>0.7</v>
      </c>
      <c r="G12" s="110" t="s">
        <v>131</v>
      </c>
      <c r="H12" s="111">
        <f>IFERROR(((IF(E12="",0,E12)+IF(F12="",0,F12))/Planted_Acres)*VLOOKUP(G12,LaborTable[],4,0),"")</f>
        <v>0.28807714285714286</v>
      </c>
      <c r="I12" s="98">
        <f>IFERROR(VLOOKUP(VLOOKUP(C12,TractorTable[],3,0),FuelTable[],2,0)*VLOOKUP(C12,TractorTable[],15,0)*(E12/Planted_Acres),"")</f>
        <v>0.21986505000000001</v>
      </c>
      <c r="J12" s="98">
        <f>IFERROR((IF(ISBLANK(C12),0,(VLOOKUP(C12,TractorTable[],14,0)))+IF(ISBLANK(D12),0,VLOOKUP(D12,ImplementTable[],14,0)))*(E12/Planted_Acres),"")</f>
        <v>0.15155356740007211</v>
      </c>
      <c r="K12" s="112">
        <f t="shared" si="1"/>
        <v>0.6594957602572149</v>
      </c>
      <c r="L12" s="113">
        <v>8</v>
      </c>
      <c r="M12" s="98">
        <f t="shared" si="2"/>
        <v>5.2759660820577192</v>
      </c>
      <c r="N12" s="98">
        <f>IFERROR((IF(ISBLANK(C12),0,VLOOKUP(C12,TractorTable[],13,0))+IF(ISBLANK(D12),0,VLOOKUP(D12,ImplementTable[],13,0)))*((E12*L12)/Planted_Acres),"")</f>
        <v>3.3265831205250813</v>
      </c>
    </row>
    <row r="13" spans="1:14" x14ac:dyDescent="0.25">
      <c r="B13" s="93" t="s">
        <v>139</v>
      </c>
      <c r="C13" s="93" t="s">
        <v>140</v>
      </c>
      <c r="D13" s="93" t="s">
        <v>141</v>
      </c>
      <c r="E13" s="186">
        <f>IFERROR(((43560*Planted_Acres)/VLOOKUP(D13,ImplementTable[],3,0))/(5280*VLOOKUP(D13,ImplementTable[],4,0))*1.1,"")</f>
        <v>8.4700000000000006</v>
      </c>
      <c r="F13" s="186">
        <f t="shared" si="3"/>
        <v>2.194</v>
      </c>
      <c r="G13" s="110" t="s">
        <v>131</v>
      </c>
      <c r="H13" s="111">
        <f>IFERROR(((IF(E13="",0,E13)+IF(F13="",0,F13))/Planted_Acres)*VLOOKUP(G13,LaborTable[],4,0),"")</f>
        <v>1.8070909714285717</v>
      </c>
      <c r="I13" s="98">
        <f>IFERROR(VLOOKUP(VLOOKUP(C13,TractorTable[],3,0),FuelTable[],2,0)*VLOOKUP(C13,TractorTable[],15,0)*(E13/Planted_Acres),"")</f>
        <v>3.4584772365000003</v>
      </c>
      <c r="J13" s="98">
        <f>IFERROR((IF(ISBLANK(C13),0,(VLOOKUP(C13,TractorTable[],14,0)))+IF(ISBLANK(D13),0,VLOOKUP(D13,ImplementTable[],14,0)))*(E13/Planted_Acres),"")</f>
        <v>4.706305783782633</v>
      </c>
      <c r="K13" s="112">
        <f t="shared" si="1"/>
        <v>9.971873991711206</v>
      </c>
      <c r="L13" s="113">
        <v>1</v>
      </c>
      <c r="M13" s="98">
        <f t="shared" si="2"/>
        <v>9.971873991711206</v>
      </c>
      <c r="N13" s="98">
        <f>IFERROR((IF(ISBLANK(C13),0,VLOOKUP(C13,TractorTable[],13,0))+IF(ISBLANK(D13),0,VLOOKUP(D13,ImplementTable[],13,0)))*((E13*L13)/Planted_Acres),"")</f>
        <v>14.153840206761156</v>
      </c>
    </row>
    <row r="14" spans="1:14" x14ac:dyDescent="0.25">
      <c r="B14" s="93"/>
      <c r="C14" s="93"/>
      <c r="D14" s="93" t="s">
        <v>142</v>
      </c>
      <c r="E14" s="186">
        <f>IFERROR(((43560*Planted_Acres)/VLOOKUP(D14,ImplementTable[],3,0))/(5280*VLOOKUP(D14,ImplementTable[],4,0))*1.1,"")</f>
        <v>8.4700000000000006</v>
      </c>
      <c r="F14" s="186">
        <f t="shared" si="3"/>
        <v>2.194</v>
      </c>
      <c r="G14" s="110"/>
      <c r="H14" s="111" t="str">
        <f>IFERROR(((IF(E14="",0,E14)+IF(F14="",0,F14))/Planted_Acres)*VLOOKUP(G14,LaborTable[],4,0),"")</f>
        <v/>
      </c>
      <c r="I14" s="98" t="str">
        <f>IFERROR(VLOOKUP(VLOOKUP(C14,TractorTable[],3,0),FuelTable[],2,0)*VLOOKUP(C14,TractorTable[],15,0)*(E14/Planted_Acres),"")</f>
        <v/>
      </c>
      <c r="J14" s="98">
        <f>IFERROR((IF(ISBLANK(C14),0,(VLOOKUP(C14,TractorTable[],14,0)))+IF(ISBLANK(D14),0,VLOOKUP(D14,ImplementTable[],14,0)))*(E14/Planted_Acres),"")</f>
        <v>5.8219444282150929</v>
      </c>
      <c r="K14" s="112">
        <f t="shared" si="1"/>
        <v>5.8219444282150929</v>
      </c>
      <c r="L14" s="113">
        <v>1</v>
      </c>
      <c r="M14" s="98">
        <f t="shared" si="2"/>
        <v>5.8219444282150929</v>
      </c>
      <c r="N14" s="98">
        <f>IFERROR((IF(ISBLANK(C14),0,VLOOKUP(C14,TractorTable[],13,0))+IF(ISBLANK(D14),0,VLOOKUP(D14,ImplementTable[],13,0)))*((E14*L14)/Planted_Acres),"")</f>
        <v>17.311763856888941</v>
      </c>
    </row>
    <row r="15" spans="1:14" x14ac:dyDescent="0.25">
      <c r="B15" s="93" t="s">
        <v>143</v>
      </c>
      <c r="C15" s="93" t="s">
        <v>144</v>
      </c>
      <c r="D15" s="93" t="s">
        <v>145</v>
      </c>
      <c r="E15" s="186">
        <f>IFERROR(((43560*Planted_Acres)/VLOOKUP(D15,ImplementTable[],3,0))/(5280*VLOOKUP(D15,ImplementTable[],4,0))*1.1,"")</f>
        <v>14.116666666666669</v>
      </c>
      <c r="F15" s="186">
        <f t="shared" si="3"/>
        <v>3.3233333333333341</v>
      </c>
      <c r="G15" s="110" t="s">
        <v>131</v>
      </c>
      <c r="H15" s="111">
        <f>IFERROR(((IF(E15="",0,E15)+IF(F15="",0,F15))/Planted_Acres)*VLOOKUP(G15,LaborTable[],4,0),"")</f>
        <v>2.9553325714285723</v>
      </c>
      <c r="I15" s="98">
        <f>IFERROR(VLOOKUP(VLOOKUP(C15,TractorTable[],3,0),FuelTable[],2,0)*VLOOKUP(C15,TractorTable[],15,0)*(E15/Planted_Acres),"")</f>
        <v>5.3207342100000004</v>
      </c>
      <c r="J15" s="98">
        <f>IFERROR((IF(ISBLANK(C15),0,(VLOOKUP(C15,TractorTable[],14,0)))+IF(ISBLANK(D15),0,VLOOKUP(D15,ImplementTable[],14,0)))*(E15/Planted_Acres),"")</f>
        <v>14.679067174213097</v>
      </c>
      <c r="K15" s="112">
        <f t="shared" si="1"/>
        <v>22.955133955641671</v>
      </c>
      <c r="L15" s="113">
        <v>1</v>
      </c>
      <c r="M15" s="98">
        <f t="shared" si="2"/>
        <v>22.955133955641671</v>
      </c>
      <c r="N15" s="98">
        <f>IFERROR((IF(ISBLANK(C15),0,VLOOKUP(C15,TractorTable[],13,0))+IF(ISBLANK(D15),0,VLOOKUP(D15,ImplementTable[],13,0)))*((E15*L15)/Planted_Acres),"")</f>
        <v>60.399613383898846</v>
      </c>
    </row>
    <row r="16" spans="1:14" x14ac:dyDescent="0.25">
      <c r="B16" s="93"/>
      <c r="C16" s="93"/>
      <c r="D16" s="93"/>
      <c r="E16" s="186" t="str">
        <f>IFERROR(((43560*Planted_Acres)/VLOOKUP(D16,ImplementTable[],3,0))/(5280*VLOOKUP(D16,ImplementTable[],4,0))*1.1,"")</f>
        <v/>
      </c>
      <c r="F16" s="186" t="str">
        <f t="shared" si="0"/>
        <v/>
      </c>
      <c r="G16" s="110"/>
      <c r="H16" s="111" t="str">
        <f>IFERROR(((IF(E16="",0,E16)+IF(F16="",0,F16))/Planted_Acres)*VLOOKUP(G16,LaborTable[],4,0),"")</f>
        <v/>
      </c>
      <c r="I16" s="98" t="str">
        <f>IFERROR(VLOOKUP(VLOOKUP(C16,TractorTable[],3,0),FuelTable[],2,0)*VLOOKUP(C16,TractorTable[],15,0)*(E16/Planted_Acres),"")</f>
        <v/>
      </c>
      <c r="J16" s="98" t="str">
        <f>IFERROR((IF(ISBLANK(C16),0,(VLOOKUP(C16,TractorTable[],14,0)))+IF(ISBLANK(D16),0,VLOOKUP(D16,ImplementTable[],14,0)))*(E16/Planted_Acres),"")</f>
        <v/>
      </c>
      <c r="K16" s="112">
        <f t="shared" si="1"/>
        <v>0</v>
      </c>
      <c r="L16" s="113"/>
      <c r="M16" s="98">
        <f t="shared" si="2"/>
        <v>0</v>
      </c>
      <c r="N16" s="98" t="str">
        <f>IFERROR((IF(ISBLANK(C16),0,VLOOKUP(C16,TractorTable[],13,0))+IF(ISBLANK(D16),0,VLOOKUP(D16,ImplementTable[],13,0)))*((E16*L16)/Planted_Acres),"")</f>
        <v/>
      </c>
    </row>
    <row r="17" spans="2:14" x14ac:dyDescent="0.25">
      <c r="B17" s="93"/>
      <c r="C17" s="93"/>
      <c r="D17" s="93"/>
      <c r="E17" s="186" t="str">
        <f>IFERROR(((43560*Planted_Acres)/VLOOKUP(D17,ImplementTable[],3,0))/(5280*VLOOKUP(D17,ImplementTable[],4,0))*1.1,"")</f>
        <v/>
      </c>
      <c r="F17" s="186" t="str">
        <f t="shared" si="0"/>
        <v/>
      </c>
      <c r="G17" s="110"/>
      <c r="H17" s="111" t="str">
        <f>IFERROR(((IF(E17="",0,E17)+IF(F17="",0,F17))/Planted_Acres)*VLOOKUP(G17,LaborTable[],4,0),"")</f>
        <v/>
      </c>
      <c r="I17" s="98" t="str">
        <f>IFERROR(VLOOKUP(VLOOKUP(C17,TractorTable[],3,0),FuelTable[],2,0)*VLOOKUP(C17,TractorTable[],15,0)*(E17/Planted_Acres),"")</f>
        <v/>
      </c>
      <c r="J17" s="98" t="str">
        <f>IFERROR((IF(ISBLANK(C17),0,(VLOOKUP(C17,TractorTable[],14,0)))+IF(ISBLANK(D17),0,VLOOKUP(D17,ImplementTable[],14,0)))*(E17/Planted_Acres),"")</f>
        <v/>
      </c>
      <c r="K17" s="112">
        <f t="shared" si="1"/>
        <v>0</v>
      </c>
      <c r="L17" s="113"/>
      <c r="M17" s="98">
        <f t="shared" si="2"/>
        <v>0</v>
      </c>
      <c r="N17" s="98" t="str">
        <f>IFERROR((IF(ISBLANK(C17),0,VLOOKUP(C17,TractorTable[],13,0))+IF(ISBLANK(D17),0,VLOOKUP(D17,ImplementTable[],13,0)))*((E17*L17)/Planted_Acres),"")</f>
        <v/>
      </c>
    </row>
    <row r="18" spans="2:14" x14ac:dyDescent="0.25">
      <c r="B18" s="93"/>
      <c r="C18" s="93"/>
      <c r="D18" s="93"/>
      <c r="E18" s="186" t="str">
        <f>IFERROR(((43560*Planted_Acres)/VLOOKUP(D18,ImplementTable[],3,0))/(5280*VLOOKUP(D18,ImplementTable[],4,0))*1.1,"")</f>
        <v/>
      </c>
      <c r="F18" s="186" t="str">
        <f t="shared" si="0"/>
        <v/>
      </c>
      <c r="G18" s="110"/>
      <c r="H18" s="111" t="str">
        <f>IFERROR(((IF(E18="",0,E18)+IF(F18="",0,F18))/Planted_Acres)*VLOOKUP(G18,LaborTable[],4,0),"")</f>
        <v/>
      </c>
      <c r="I18" s="98" t="str">
        <f>IFERROR(VLOOKUP(VLOOKUP(C18,TractorTable[],3,0),FuelTable[],2,0)*VLOOKUP(C18,TractorTable[],15,0)*(E18/Planted_Acres),"")</f>
        <v/>
      </c>
      <c r="J18" s="98" t="str">
        <f>IFERROR((IF(ISBLANK(C18),0,(VLOOKUP(C18,TractorTable[],14,0)))+IF(ISBLANK(D18),0,VLOOKUP(D18,ImplementTable[],14,0)))*(E18/Planted_Acres),"")</f>
        <v/>
      </c>
      <c r="K18" s="112">
        <f t="shared" si="1"/>
        <v>0</v>
      </c>
      <c r="L18" s="113"/>
      <c r="M18" s="98">
        <f t="shared" si="2"/>
        <v>0</v>
      </c>
      <c r="N18" s="98" t="str">
        <f>IFERROR((IF(ISBLANK(C18),0,VLOOKUP(C18,TractorTable[],13,0))+IF(ISBLANK(D18),0,VLOOKUP(D18,ImplementTable[],13,0)))*((E18*L18)/Planted_Acres),"")</f>
        <v/>
      </c>
    </row>
    <row r="19" spans="2:14" x14ac:dyDescent="0.25">
      <c r="B19" s="93"/>
      <c r="C19" s="93"/>
      <c r="D19" s="93"/>
      <c r="E19" s="186" t="str">
        <f>IFERROR(((43560*Planted_Acres)/VLOOKUP(D19,ImplementTable[],3,0))/(5280*VLOOKUP(D19,ImplementTable[],4,0))*1.1,"")</f>
        <v/>
      </c>
      <c r="F19" s="186" t="str">
        <f t="shared" si="0"/>
        <v/>
      </c>
      <c r="G19" s="110"/>
      <c r="H19" s="111" t="str">
        <f>IFERROR(((IF(E19="",0,E19)+IF(F19="",0,F19))/Planted_Acres)*VLOOKUP(G19,LaborTable[],4,0),"")</f>
        <v/>
      </c>
      <c r="I19" s="98" t="str">
        <f>IFERROR(VLOOKUP(VLOOKUP(C19,TractorTable[],3,0),FuelTable[],2,0)*VLOOKUP(C19,TractorTable[],15,0)*(E19/Planted_Acres),"")</f>
        <v/>
      </c>
      <c r="J19" s="98" t="str">
        <f>IFERROR((IF(ISBLANK(C19),0,(VLOOKUP(C19,TractorTable[],14,0)))+IF(ISBLANK(D19),0,VLOOKUP(D19,ImplementTable[],14,0)))*(E19/Planted_Acres),"")</f>
        <v/>
      </c>
      <c r="K19" s="112">
        <f t="shared" si="1"/>
        <v>0</v>
      </c>
      <c r="L19" s="113"/>
      <c r="M19" s="98">
        <f t="shared" si="2"/>
        <v>0</v>
      </c>
      <c r="N19" s="98" t="str">
        <f>IFERROR((IF(ISBLANK(C19),0,VLOOKUP(C19,TractorTable[],13,0))+IF(ISBLANK(D19),0,VLOOKUP(D19,ImplementTable[],13,0)))*((E19*L19)/Planted_Acres),"")</f>
        <v/>
      </c>
    </row>
    <row r="20" spans="2:14" x14ac:dyDescent="0.25">
      <c r="B20" s="93"/>
      <c r="C20" s="93"/>
      <c r="D20" s="93"/>
      <c r="E20" s="186" t="str">
        <f>IFERROR(((43560*Planted_Acres)/VLOOKUP(D20,ImplementTable[],3,0))/(5280*VLOOKUP(D20,ImplementTable[],4,0))*1.1,"")</f>
        <v/>
      </c>
      <c r="F20" s="186" t="str">
        <f t="shared" si="0"/>
        <v/>
      </c>
      <c r="G20" s="110"/>
      <c r="H20" s="111" t="str">
        <f>IFERROR(((IF(E20="",0,E20)+IF(F20="",0,F20))/Planted_Acres)*VLOOKUP(G20,LaborTable[],4,0),"")</f>
        <v/>
      </c>
      <c r="I20" s="98" t="str">
        <f>IFERROR(VLOOKUP(VLOOKUP(C20,TractorTable[],3,0),FuelTable[],2,0)*VLOOKUP(C20,TractorTable[],15,0)*(E20/Planted_Acres),"")</f>
        <v/>
      </c>
      <c r="J20" s="98" t="str">
        <f>IFERROR((IF(ISBLANK(C20),0,(VLOOKUP(C20,TractorTable[],14,0)))+IF(ISBLANK(D20),0,VLOOKUP(D20,ImplementTable[],14,0)))*(E20/Planted_Acres),"")</f>
        <v/>
      </c>
      <c r="K20" s="112">
        <f t="shared" si="1"/>
        <v>0</v>
      </c>
      <c r="L20" s="113"/>
      <c r="M20" s="98">
        <f t="shared" si="2"/>
        <v>0</v>
      </c>
      <c r="N20" s="98" t="str">
        <f>IFERROR((IF(ISBLANK(C20),0,VLOOKUP(C20,TractorTable[],13,0))+IF(ISBLANK(D20),0,VLOOKUP(D20,ImplementTable[],13,0)))*((E20*L20)/Planted_Acres),"")</f>
        <v/>
      </c>
    </row>
    <row r="21" spans="2:14" x14ac:dyDescent="0.25">
      <c r="B21" s="93"/>
      <c r="C21" s="93"/>
      <c r="D21" s="93"/>
      <c r="E21" s="186" t="str">
        <f>IFERROR(((43560*Planted_Acres)/VLOOKUP(D21,ImplementTable[],3,0))/(5280*VLOOKUP(D21,ImplementTable[],4,0))*1.1,"")</f>
        <v/>
      </c>
      <c r="F21" s="186" t="str">
        <f t="shared" si="0"/>
        <v/>
      </c>
      <c r="G21" s="110"/>
      <c r="H21" s="111" t="str">
        <f>IFERROR(((IF(E21="",0,E21)+IF(F21="",0,F21))/Planted_Acres)*VLOOKUP(G21,LaborTable[],4,0),"")</f>
        <v/>
      </c>
      <c r="I21" s="98" t="str">
        <f>IFERROR(VLOOKUP(VLOOKUP(C21,TractorTable[],3,0),FuelTable[],2,0)*VLOOKUP(C21,TractorTable[],15,0)*(E21/Planted_Acres),"")</f>
        <v/>
      </c>
      <c r="J21" s="98" t="str">
        <f>IFERROR((IF(ISBLANK(C21),0,(VLOOKUP(C21,TractorTable[],14,0)))+IF(ISBLANK(D21),0,VLOOKUP(D21,ImplementTable[],14,0)))*(E21/Planted_Acres),"")</f>
        <v/>
      </c>
      <c r="K21" s="112">
        <f t="shared" si="1"/>
        <v>0</v>
      </c>
      <c r="L21" s="113"/>
      <c r="M21" s="98">
        <f t="shared" si="2"/>
        <v>0</v>
      </c>
      <c r="N21" s="98" t="str">
        <f>IFERROR((IF(ISBLANK(C21),0,VLOOKUP(C21,TractorTable[],13,0))+IF(ISBLANK(D21),0,VLOOKUP(D21,ImplementTable[],13,0)))*((E21*L21)/Planted_Acres),"")</f>
        <v/>
      </c>
    </row>
    <row r="22" spans="2:14" x14ac:dyDescent="0.25">
      <c r="B22" s="93"/>
      <c r="C22" s="93"/>
      <c r="D22" s="93"/>
      <c r="E22" s="186" t="str">
        <f>IFERROR(((43560*Planted_Acres)/VLOOKUP(D22,ImplementTable[],3,0))/(5280*VLOOKUP(D22,ImplementTable[],4,0))*1.1,"")</f>
        <v/>
      </c>
      <c r="F22" s="186" t="str">
        <f t="shared" si="0"/>
        <v/>
      </c>
      <c r="G22" s="110"/>
      <c r="H22" s="111" t="str">
        <f>IFERROR(((IF(E22="",0,E22)+IF(F22="",0,F22))/Planted_Acres)*VLOOKUP(G22,LaborTable[],4,0),"")</f>
        <v/>
      </c>
      <c r="I22" s="98" t="str">
        <f>IFERROR(VLOOKUP(VLOOKUP(C22,TractorTable[],3,0),FuelTable[],2,0)*VLOOKUP(C22,TractorTable[],15,0)*(E22/Planted_Acres),"")</f>
        <v/>
      </c>
      <c r="J22" s="98" t="str">
        <f>IFERROR((IF(ISBLANK(C22),0,(VLOOKUP(C22,TractorTable[],14,0)))+IF(ISBLANK(D22),0,VLOOKUP(D22,ImplementTable[],14,0)))*(E22/Planted_Acres),"")</f>
        <v/>
      </c>
      <c r="K22" s="112">
        <f t="shared" si="1"/>
        <v>0</v>
      </c>
      <c r="L22" s="113"/>
      <c r="M22" s="98">
        <f t="shared" si="2"/>
        <v>0</v>
      </c>
      <c r="N22" s="98" t="str">
        <f>IFERROR((IF(ISBLANK(C22),0,VLOOKUP(C22,TractorTable[],13,0))+IF(ISBLANK(D22),0,VLOOKUP(D22,ImplementTable[],13,0)))*((E22*L22)/Planted_Acres),"")</f>
        <v/>
      </c>
    </row>
    <row r="23" spans="2:14" x14ac:dyDescent="0.25">
      <c r="B23" s="93"/>
      <c r="C23" s="93"/>
      <c r="D23" s="93"/>
      <c r="E23" s="186" t="str">
        <f>IFERROR(((43560*Planted_Acres)/VLOOKUP(D23,ImplementTable[],3,0))/(5280*VLOOKUP(D23,ImplementTable[],4,0))*1.1,"")</f>
        <v/>
      </c>
      <c r="F23" s="186" t="str">
        <f t="shared" si="0"/>
        <v/>
      </c>
      <c r="G23" s="110"/>
      <c r="H23" s="111" t="str">
        <f>IFERROR(((IF(E23="",0,E23)+IF(F23="",0,F23))/Planted_Acres)*VLOOKUP(G23,LaborTable[],4,0),"")</f>
        <v/>
      </c>
      <c r="I23" s="98" t="str">
        <f>IFERROR(VLOOKUP(VLOOKUP(C23,TractorTable[],3,0),FuelTable[],2,0)*VLOOKUP(C23,TractorTable[],15,0)*(E23/Planted_Acres),"")</f>
        <v/>
      </c>
      <c r="J23" s="98" t="str">
        <f>IFERROR((IF(ISBLANK(C23),0,(VLOOKUP(C23,TractorTable[],14,0)))+IF(ISBLANK(D23),0,VLOOKUP(D23,ImplementTable[],14,0)))*(E23/Planted_Acres),"")</f>
        <v/>
      </c>
      <c r="K23" s="112">
        <f t="shared" si="1"/>
        <v>0</v>
      </c>
      <c r="L23" s="113"/>
      <c r="M23" s="98">
        <f t="shared" si="2"/>
        <v>0</v>
      </c>
      <c r="N23" s="98" t="str">
        <f>IFERROR((IF(ISBLANK(C23),0,VLOOKUP(C23,TractorTable[],13,0))+IF(ISBLANK(D23),0,VLOOKUP(D23,ImplementTable[],13,0)))*((E23*L23)/Planted_Acres),"")</f>
        <v/>
      </c>
    </row>
    <row r="24" spans="2:14" ht="15.75" thickBot="1" x14ac:dyDescent="0.3">
      <c r="B24" s="114"/>
      <c r="C24" s="114"/>
      <c r="D24" s="114"/>
      <c r="E24" s="187" t="str">
        <f>IFERROR(((43560*Planted_Acres)/VLOOKUP(D24,ImplementTable[],3,0))/(5280*VLOOKUP(D24,ImplementTable[],4,0))*1.1,"")</f>
        <v/>
      </c>
      <c r="F24" s="187" t="str">
        <f t="shared" si="0"/>
        <v/>
      </c>
      <c r="G24" s="115"/>
      <c r="H24" s="116" t="str">
        <f>IFERROR(((IF(E24="",0,E24)+IF(F24="",0,F24))/Planted_Acres)*VLOOKUP(G24,LaborTable[],4,0),"")</f>
        <v/>
      </c>
      <c r="I24" s="175" t="str">
        <f>IFERROR(VLOOKUP(VLOOKUP(C24,TractorTable[],3,0),FuelTable[],2,0)*VLOOKUP(C24,TractorTable[],15,0)*(E24/Planted_Acres),"")</f>
        <v/>
      </c>
      <c r="J24" s="117" t="str">
        <f>IFERROR((IF(ISBLANK(C24),0,(VLOOKUP(C24,TractorTable[],14,0)))+IF(ISBLANK(D24),0,VLOOKUP(D24,ImplementTable[],14,0)))*(E24/Planted_Acres),"")</f>
        <v/>
      </c>
      <c r="K24" s="118">
        <f t="shared" si="1"/>
        <v>0</v>
      </c>
      <c r="L24" s="119"/>
      <c r="M24" s="117">
        <f t="shared" si="2"/>
        <v>0</v>
      </c>
      <c r="N24" s="117" t="str">
        <f>IFERROR((IF(ISBLANK(C24),0,VLOOKUP(C24,TractorTable[],13,0))+IF(ISBLANK(D24),0,VLOOKUP(D24,ImplementTable[],13,0)))*((E24*L24)/Planted_Acres),"")</f>
        <v/>
      </c>
    </row>
    <row r="25" spans="2:14" x14ac:dyDescent="0.25">
      <c r="B25" s="246" t="s">
        <v>146</v>
      </c>
      <c r="C25" s="247"/>
      <c r="D25" s="247"/>
      <c r="E25" s="247"/>
      <c r="F25" s="247"/>
      <c r="G25" s="247"/>
      <c r="H25" s="103">
        <f>SUMPRODUCT(H5:H24,$L5:$L24)</f>
        <v>18.794588546938776</v>
      </c>
      <c r="I25" s="181">
        <f>SUMPRODUCT(I5:I24,$L5:$L24)</f>
        <v>23.658791839737244</v>
      </c>
      <c r="J25" s="104">
        <f t="shared" ref="J25" si="4">SUMPRODUCT(J5:J24,$L5:$L24)</f>
        <v>38.25066801893859</v>
      </c>
      <c r="K25" s="105"/>
      <c r="L25" s="106"/>
      <c r="M25" s="104">
        <f>SUM(M5:M24)</f>
        <v>80.7040484056146</v>
      </c>
      <c r="N25" s="104">
        <f>SUM(N5:N24)</f>
        <v>154.00721808238848</v>
      </c>
    </row>
    <row r="27" spans="2:14" x14ac:dyDescent="0.25">
      <c r="B27" s="248" t="s">
        <v>147</v>
      </c>
      <c r="C27" s="248"/>
      <c r="D27" s="248"/>
      <c r="E27" s="248"/>
      <c r="F27" s="248"/>
      <c r="G27" s="248"/>
      <c r="H27" s="248"/>
      <c r="I27" s="248"/>
      <c r="J27" s="248"/>
      <c r="K27" s="248"/>
      <c r="L27" s="248"/>
      <c r="M27" s="248"/>
      <c r="N27" s="248"/>
    </row>
    <row r="28" spans="2:14" ht="45" customHeight="1" x14ac:dyDescent="0.25">
      <c r="B28" s="250" t="s">
        <v>148</v>
      </c>
      <c r="C28" s="251"/>
      <c r="D28" s="252"/>
      <c r="E28" s="36" t="s">
        <v>149</v>
      </c>
      <c r="F28" s="36" t="s">
        <v>150</v>
      </c>
      <c r="G28" s="37" t="s">
        <v>120</v>
      </c>
      <c r="H28" s="35" t="s">
        <v>151</v>
      </c>
      <c r="I28" s="36" t="s">
        <v>152</v>
      </c>
      <c r="J28" s="36" t="s">
        <v>153</v>
      </c>
      <c r="K28" s="37" t="s">
        <v>154</v>
      </c>
      <c r="L28" s="35" t="s">
        <v>155</v>
      </c>
      <c r="M28" s="36" t="s">
        <v>126</v>
      </c>
      <c r="N28" s="36" t="s">
        <v>127</v>
      </c>
    </row>
    <row r="29" spans="2:14" x14ac:dyDescent="0.25">
      <c r="B29" s="240" t="s">
        <v>156</v>
      </c>
      <c r="C29" s="241"/>
      <c r="D29" s="242"/>
      <c r="E29" s="121">
        <v>0.2</v>
      </c>
      <c r="F29" s="93">
        <v>2</v>
      </c>
      <c r="G29" s="110" t="s">
        <v>157</v>
      </c>
      <c r="H29" s="111">
        <f>IFERROR(VLOOKUP(G29,LaborTable[],4,0)*F29/Planted_Acres,"")</f>
        <v>0.26074285714285711</v>
      </c>
      <c r="I29" s="98">
        <f>IFERROR(IrrigPowerCostPerAcreInch*E29,"")</f>
        <v>1.308924</v>
      </c>
      <c r="J29" s="98">
        <f>IFERROR(IrrigRMCostPerAcreInch*E29,"")</f>
        <v>0.52</v>
      </c>
      <c r="K29" s="112">
        <f>SUM(H29:J29)</f>
        <v>2.0896668571428574</v>
      </c>
      <c r="L29" s="113">
        <v>8</v>
      </c>
      <c r="M29" s="98">
        <f>K29*L29</f>
        <v>16.717334857142859</v>
      </c>
      <c r="N29" s="98">
        <f>IFERROR((IrrigFixedCostPerAcre/IrrigAcreInches)*(E29*L29),"")</f>
        <v>1.8103343465045594</v>
      </c>
    </row>
    <row r="30" spans="2:14" x14ac:dyDescent="0.25">
      <c r="B30" s="240" t="s">
        <v>158</v>
      </c>
      <c r="C30" s="241"/>
      <c r="D30" s="242"/>
      <c r="E30" s="121">
        <v>0.3</v>
      </c>
      <c r="F30" s="93">
        <v>1</v>
      </c>
      <c r="G30" s="110" t="s">
        <v>157</v>
      </c>
      <c r="H30" s="111">
        <f>IFERROR(VLOOKUP(G30,LaborTable[],4,0)*F30/Planted_Acres,"")</f>
        <v>0.13037142857142855</v>
      </c>
      <c r="I30" s="98">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98">
        <f>IFERROR(IrrigRMCostPerAcreInch*E30,"")</f>
        <v>0.78</v>
      </c>
      <c r="K30" s="112">
        <f t="shared" ref="K30:K33" si="5">SUM(H30:J30)</f>
        <v>2.8737574285714285</v>
      </c>
      <c r="L30" s="113">
        <v>11</v>
      </c>
      <c r="M30" s="98">
        <f t="shared" ref="M30:M33" si="6">K30*L30</f>
        <v>31.611331714285711</v>
      </c>
      <c r="N30" s="98">
        <f>IFERROR((IrrigFixedCostPerAcre/IrrigAcreInches)*(E30*L30),"")</f>
        <v>3.7338145896656534</v>
      </c>
    </row>
    <row r="31" spans="2:14" x14ac:dyDescent="0.25">
      <c r="B31" s="240" t="s">
        <v>159</v>
      </c>
      <c r="C31" s="241"/>
      <c r="D31" s="242"/>
      <c r="E31" s="121">
        <v>0.5</v>
      </c>
      <c r="F31" s="93">
        <v>1.2</v>
      </c>
      <c r="G31" s="110" t="s">
        <v>157</v>
      </c>
      <c r="H31" s="111">
        <f>IFERROR(VLOOKUP(G31,LaborTable[],4,0)*F31/Planted_Acres,"")</f>
        <v>0.15644571428571427</v>
      </c>
      <c r="I31" s="98">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98">
        <f>IFERROR(IrrigRMCostPerAcreInch*E31,"")</f>
        <v>1.3</v>
      </c>
      <c r="K31" s="112">
        <f t="shared" si="5"/>
        <v>4.7287557142857137</v>
      </c>
      <c r="L31" s="113">
        <v>9</v>
      </c>
      <c r="M31" s="98">
        <f t="shared" si="6"/>
        <v>42.558801428571421</v>
      </c>
      <c r="N31" s="98">
        <f>IFERROR((IrrigFixedCostPerAcre/IrrigAcreInches)*(E31*L31),"")</f>
        <v>5.0915653495440729</v>
      </c>
    </row>
    <row r="32" spans="2:14" x14ac:dyDescent="0.25">
      <c r="B32" s="240"/>
      <c r="C32" s="241"/>
      <c r="D32" s="242"/>
      <c r="E32" s="121"/>
      <c r="F32" s="93"/>
      <c r="G32" s="110"/>
      <c r="H32" s="111" t="str">
        <f>IFERROR(VLOOKUP(G32,LaborTable[],4,0)*F32/Planted_Acres,"")</f>
        <v/>
      </c>
      <c r="I32" s="98">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98">
        <f>IFERROR(IrrigRMCostPerAcreInch*E32,"")</f>
        <v>0</v>
      </c>
      <c r="K32" s="112">
        <f t="shared" si="5"/>
        <v>0</v>
      </c>
      <c r="L32" s="113"/>
      <c r="M32" s="98">
        <f t="shared" si="6"/>
        <v>0</v>
      </c>
      <c r="N32" s="98">
        <f>IFERROR((IrrigFixedCostPerAcre/IrrigAcreInches)*(E32*L32),"")</f>
        <v>0</v>
      </c>
    </row>
    <row r="33" spans="2:14" ht="15.75" thickBot="1" x14ac:dyDescent="0.3">
      <c r="B33" s="243"/>
      <c r="C33" s="244"/>
      <c r="D33" s="245"/>
      <c r="E33" s="122"/>
      <c r="F33" s="114"/>
      <c r="G33" s="115"/>
      <c r="H33" s="116" t="str">
        <f>IFERROR(VLOOKUP(G33,LaborTable[],4,0)*F33/Planted_Acres,"")</f>
        <v/>
      </c>
      <c r="I33" s="117">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17">
        <f>IFERROR(IrrigRMCostPerAcreInch*E33,"")</f>
        <v>0</v>
      </c>
      <c r="K33" s="118">
        <f t="shared" si="5"/>
        <v>0</v>
      </c>
      <c r="L33" s="119"/>
      <c r="M33" s="117">
        <f t="shared" si="6"/>
        <v>0</v>
      </c>
      <c r="N33" s="117">
        <f>IFERROR((IrrigFixedCostPerAcre/IrrigAcreInches)*(E33*L33),"")</f>
        <v>0</v>
      </c>
    </row>
    <row r="34" spans="2:14" x14ac:dyDescent="0.25">
      <c r="B34" s="246" t="s">
        <v>160</v>
      </c>
      <c r="C34" s="247"/>
      <c r="D34" s="249"/>
      <c r="E34" s="107">
        <f>SUMPRODUCT(E29:E33,$L29:$L33)</f>
        <v>9.4</v>
      </c>
      <c r="F34" s="107">
        <f>SUMPRODUCT(F29:F33,$L29:$L33)</f>
        <v>37.799999999999997</v>
      </c>
      <c r="G34" s="102"/>
      <c r="H34" s="103">
        <f>SUMPRODUCT(H29:H33,$L29:$L33)</f>
        <v>4.9280399999999993</v>
      </c>
      <c r="I34" s="104">
        <f t="shared" ref="I34:J34" si="7">SUMPRODUCT(I29:I33,$L29:$L33)</f>
        <v>61.519427999999991</v>
      </c>
      <c r="J34" s="104">
        <f t="shared" si="7"/>
        <v>24.44</v>
      </c>
      <c r="K34" s="108"/>
      <c r="L34" s="106"/>
      <c r="M34" s="104">
        <f>SUM(M29:M33)</f>
        <v>90.887467999999984</v>
      </c>
      <c r="N34" s="104">
        <f>SUM(N29:N33)</f>
        <v>10.635714285714286</v>
      </c>
    </row>
    <row r="36" spans="2:14" x14ac:dyDescent="0.25">
      <c r="B36" s="248" t="s">
        <v>161</v>
      </c>
      <c r="C36" s="248"/>
      <c r="D36" s="248"/>
      <c r="E36" s="248"/>
      <c r="F36" s="248"/>
      <c r="G36" s="248"/>
      <c r="H36" s="248"/>
      <c r="I36" s="248"/>
      <c r="J36" s="248"/>
      <c r="K36" s="248"/>
      <c r="L36" s="248"/>
      <c r="M36" s="248"/>
      <c r="N36" s="248"/>
    </row>
    <row r="37" spans="2:14" ht="45" x14ac:dyDescent="0.25">
      <c r="B37" s="7" t="s">
        <v>162</v>
      </c>
      <c r="C37" s="38" t="s">
        <v>163</v>
      </c>
      <c r="D37" s="38" t="s">
        <v>164</v>
      </c>
      <c r="E37" s="36" t="s">
        <v>165</v>
      </c>
      <c r="F37" s="36" t="s">
        <v>166</v>
      </c>
      <c r="G37" s="37" t="s">
        <v>120</v>
      </c>
      <c r="H37" s="35" t="s">
        <v>121</v>
      </c>
      <c r="I37" s="36" t="s">
        <v>122</v>
      </c>
      <c r="J37" s="36" t="s">
        <v>123</v>
      </c>
      <c r="K37" s="37" t="s">
        <v>124</v>
      </c>
      <c r="L37" s="35" t="s">
        <v>125</v>
      </c>
      <c r="M37" s="36" t="s">
        <v>126</v>
      </c>
      <c r="N37" s="36" t="s">
        <v>127</v>
      </c>
    </row>
    <row r="38" spans="2:14" x14ac:dyDescent="0.25">
      <c r="B38" s="93" t="s">
        <v>639</v>
      </c>
      <c r="C38" s="93" t="s">
        <v>167</v>
      </c>
      <c r="D38" s="93" t="str">
        <f>IFERROR(VLOOKUP(C38,VehicleTable[],3,0),"")</f>
        <v>Gasoline</v>
      </c>
      <c r="E38" s="93">
        <v>30</v>
      </c>
      <c r="F38" s="93">
        <v>1</v>
      </c>
      <c r="G38" s="110" t="s">
        <v>131</v>
      </c>
      <c r="H38" s="111">
        <f>IFERROR(F38*VLOOKUP(G38,LaborTable[],4,0)/Planted_Acres,"")</f>
        <v>0.16945714285714286</v>
      </c>
      <c r="I38" s="98">
        <f>IFERROR(E38*VLOOKUP(C38,VehicleTable[],15,0)*VLOOKUP(D38,FuelTable[],2,0)/Planted_Acres,"")</f>
        <v>4.2784285714285719E-2</v>
      </c>
      <c r="J38" s="98">
        <f>IFERROR(E38*VLOOKUP(C38,VehicleTable[],14,0)/Planted_Acres,"")</f>
        <v>3.8914285714285714E-2</v>
      </c>
      <c r="K38" s="112">
        <f>SUM(H38:J38)</f>
        <v>0.25115571428571432</v>
      </c>
      <c r="L38" s="113">
        <v>24</v>
      </c>
      <c r="M38" s="98">
        <f>K38*L38</f>
        <v>6.0277371428571431</v>
      </c>
      <c r="N38" s="98">
        <f>IFERROR(E38*L38*VLOOKUP(C38,VehicleTable[],13,0)/Planted_Acres,"")</f>
        <v>3.0185611267400554</v>
      </c>
    </row>
    <row r="39" spans="2:14" x14ac:dyDescent="0.25">
      <c r="B39" s="93" t="s">
        <v>640</v>
      </c>
      <c r="C39" s="93" t="s">
        <v>169</v>
      </c>
      <c r="D39" s="93" t="str">
        <f>IFERROR(VLOOKUP(C39,VehicleTable[],3,0),"")</f>
        <v>Gasoline</v>
      </c>
      <c r="E39" s="93">
        <v>30</v>
      </c>
      <c r="F39" s="93">
        <v>1</v>
      </c>
      <c r="G39" s="110" t="s">
        <v>157</v>
      </c>
      <c r="H39" s="111">
        <f>IFERROR(F39*VLOOKUP(G39,LaborTable[],4,0)/Planted_Acres,"")</f>
        <v>0.13037142857142855</v>
      </c>
      <c r="I39" s="98">
        <f>IFERROR(E39*VLOOKUP(C39,VehicleTable[],15,0)*VLOOKUP(D39,FuelTable[],2,0)/Planted_Acres,"")</f>
        <v>3.1928571428571424E-2</v>
      </c>
      <c r="J39" s="98">
        <f>IFERROR(E39*VLOOKUP(C39,VehicleTable[],14,0)/Planted_Acres,"")</f>
        <v>2.6228571428571427E-2</v>
      </c>
      <c r="K39" s="112">
        <f t="shared" ref="K39:K47" si="8">SUM(H39:J39)</f>
        <v>0.18852857142857141</v>
      </c>
      <c r="L39" s="113">
        <v>28</v>
      </c>
      <c r="M39" s="98">
        <f t="shared" ref="M39:M47" si="9">K39*L39</f>
        <v>5.2787999999999995</v>
      </c>
      <c r="N39" s="98">
        <f>IFERROR(E39*L39*VLOOKUP(C39,VehicleTable[],13,0)/Planted_Acres,"")</f>
        <v>3.1332326037885068</v>
      </c>
    </row>
    <row r="40" spans="2:14" x14ac:dyDescent="0.25">
      <c r="B40" s="93"/>
      <c r="C40" s="93"/>
      <c r="D40" s="93" t="str">
        <f>IFERROR(VLOOKUP(C40,VehicleTable[],3,0),"")</f>
        <v/>
      </c>
      <c r="E40" s="93"/>
      <c r="F40" s="93"/>
      <c r="G40" s="110"/>
      <c r="H40" s="111" t="str">
        <f>IFERROR(F40*VLOOKUP(G40,LaborTable[],4,0)/Planted_Acres,"")</f>
        <v/>
      </c>
      <c r="I40" s="98" t="str">
        <f>IFERROR(E40*VLOOKUP(C40,VehicleTable[],15,0)*VLOOKUP(D40,FuelTable[],2,0)/Planted_Acres,"")</f>
        <v/>
      </c>
      <c r="J40" s="98" t="str">
        <f>IFERROR(E40*VLOOKUP(C40,VehicleTable[],14,0)/Planted_Acres,"")</f>
        <v/>
      </c>
      <c r="K40" s="112">
        <f t="shared" si="8"/>
        <v>0</v>
      </c>
      <c r="L40" s="113"/>
      <c r="M40" s="98">
        <f t="shared" si="9"/>
        <v>0</v>
      </c>
      <c r="N40" s="98" t="str">
        <f>IFERROR(E40*L40*VLOOKUP(C40,VehicleTable[],13,0)/Planted_Acres,"")</f>
        <v/>
      </c>
    </row>
    <row r="41" spans="2:14" x14ac:dyDescent="0.25">
      <c r="B41" s="93"/>
      <c r="C41" s="93"/>
      <c r="D41" s="93" t="str">
        <f>IFERROR(VLOOKUP(C41,VehicleTable[],3,0),"")</f>
        <v/>
      </c>
      <c r="E41" s="93"/>
      <c r="F41" s="93"/>
      <c r="G41" s="110"/>
      <c r="H41" s="111" t="str">
        <f>IFERROR(F41*VLOOKUP(G41,LaborTable[],4,0)/Planted_Acres,"")</f>
        <v/>
      </c>
      <c r="I41" s="98" t="str">
        <f>IFERROR(E41*VLOOKUP(C41,VehicleTable[],15,0)*VLOOKUP(D41,FuelTable[],2,0)/Planted_Acres,"")</f>
        <v/>
      </c>
      <c r="J41" s="98" t="str">
        <f>IFERROR(E41*VLOOKUP(C41,VehicleTable[],14,0)/Planted_Acres,"")</f>
        <v/>
      </c>
      <c r="K41" s="112">
        <f t="shared" si="8"/>
        <v>0</v>
      </c>
      <c r="L41" s="113"/>
      <c r="M41" s="98">
        <f t="shared" si="9"/>
        <v>0</v>
      </c>
      <c r="N41" s="98" t="str">
        <f>IFERROR(E41*L41*VLOOKUP(C41,VehicleTable[],13,0)/Planted_Acres,"")</f>
        <v/>
      </c>
    </row>
    <row r="42" spans="2:14" x14ac:dyDescent="0.25">
      <c r="B42" s="93"/>
      <c r="C42" s="93"/>
      <c r="D42" s="93" t="str">
        <f>IFERROR(VLOOKUP(C42,VehicleTable[],3,0),"")</f>
        <v/>
      </c>
      <c r="E42" s="93"/>
      <c r="F42" s="93"/>
      <c r="G42" s="110"/>
      <c r="H42" s="111" t="str">
        <f>IFERROR(F42*VLOOKUP(G42,LaborTable[],4,0)/Planted_Acres,"")</f>
        <v/>
      </c>
      <c r="I42" s="98" t="str">
        <f>IFERROR(E42*VLOOKUP(C42,VehicleTable[],15,0)*VLOOKUP(D42,FuelTable[],2,0)/Planted_Acres,"")</f>
        <v/>
      </c>
      <c r="J42" s="98" t="str">
        <f>IFERROR(E42*VLOOKUP(C42,VehicleTable[],14,0)/Planted_Acres,"")</f>
        <v/>
      </c>
      <c r="K42" s="112">
        <f t="shared" si="8"/>
        <v>0</v>
      </c>
      <c r="L42" s="113"/>
      <c r="M42" s="98">
        <f t="shared" si="9"/>
        <v>0</v>
      </c>
      <c r="N42" s="98" t="str">
        <f>IFERROR(E42*L42*VLOOKUP(C42,VehicleTable[],13,0)/Planted_Acres,"")</f>
        <v/>
      </c>
    </row>
    <row r="43" spans="2:14" x14ac:dyDescent="0.25">
      <c r="B43" s="93"/>
      <c r="C43" s="93"/>
      <c r="D43" s="93" t="str">
        <f>IFERROR(VLOOKUP(C43,VehicleTable[],3,0),"")</f>
        <v/>
      </c>
      <c r="E43" s="93"/>
      <c r="F43" s="93"/>
      <c r="G43" s="110"/>
      <c r="H43" s="111" t="str">
        <f>IFERROR(F43*VLOOKUP(G43,LaborTable[],4,0)/Planted_Acres,"")</f>
        <v/>
      </c>
      <c r="I43" s="98" t="str">
        <f>IFERROR(E43*VLOOKUP(C43,VehicleTable[],15,0)*VLOOKUP(D43,FuelTable[],2,0)/Planted_Acres,"")</f>
        <v/>
      </c>
      <c r="J43" s="98" t="str">
        <f>IFERROR(E43*VLOOKUP(C43,VehicleTable[],14,0)/Planted_Acres,"")</f>
        <v/>
      </c>
      <c r="K43" s="112">
        <f t="shared" si="8"/>
        <v>0</v>
      </c>
      <c r="L43" s="113"/>
      <c r="M43" s="98">
        <f t="shared" si="9"/>
        <v>0</v>
      </c>
      <c r="N43" s="98" t="str">
        <f>IFERROR(E43*L43*VLOOKUP(C43,VehicleTable[],13,0)/Planted_Acres,"")</f>
        <v/>
      </c>
    </row>
    <row r="44" spans="2:14" x14ac:dyDescent="0.25">
      <c r="B44" s="93"/>
      <c r="C44" s="93"/>
      <c r="D44" s="93" t="str">
        <f>IFERROR(VLOOKUP(C44,VehicleTable[],3,0),"")</f>
        <v/>
      </c>
      <c r="E44" s="93"/>
      <c r="F44" s="93"/>
      <c r="G44" s="110"/>
      <c r="H44" s="111" t="str">
        <f>IFERROR(F44*VLOOKUP(G44,LaborTable[],4,0)/Planted_Acres,"")</f>
        <v/>
      </c>
      <c r="I44" s="98" t="str">
        <f>IFERROR(E44*VLOOKUP(C44,VehicleTable[],15,0)*VLOOKUP(D44,FuelTable[],2,0)/Planted_Acres,"")</f>
        <v/>
      </c>
      <c r="J44" s="98" t="str">
        <f>IFERROR(E44*VLOOKUP(C44,VehicleTable[],14,0)/Planted_Acres,"")</f>
        <v/>
      </c>
      <c r="K44" s="112">
        <f t="shared" si="8"/>
        <v>0</v>
      </c>
      <c r="L44" s="113"/>
      <c r="M44" s="98">
        <f t="shared" si="9"/>
        <v>0</v>
      </c>
      <c r="N44" s="98" t="str">
        <f>IFERROR(E44*L44*VLOOKUP(C44,VehicleTable[],13,0)/Planted_Acres,"")</f>
        <v/>
      </c>
    </row>
    <row r="45" spans="2:14" x14ac:dyDescent="0.25">
      <c r="B45" s="93"/>
      <c r="C45" s="93"/>
      <c r="D45" s="93" t="str">
        <f>IFERROR(VLOOKUP(C45,VehicleTable[],3,0),"")</f>
        <v/>
      </c>
      <c r="E45" s="93"/>
      <c r="F45" s="93"/>
      <c r="G45" s="110"/>
      <c r="H45" s="111" t="str">
        <f>IFERROR(F45*VLOOKUP(G45,LaborTable[],4,0)/Planted_Acres,"")</f>
        <v/>
      </c>
      <c r="I45" s="98" t="str">
        <f>IFERROR(E45*VLOOKUP(C45,VehicleTable[],15,0)*VLOOKUP(D45,FuelTable[],2,0)/Planted_Acres,"")</f>
        <v/>
      </c>
      <c r="J45" s="98" t="str">
        <f>IFERROR(E45*VLOOKUP(C45,VehicleTable[],14,0)/Planted_Acres,"")</f>
        <v/>
      </c>
      <c r="K45" s="112">
        <f t="shared" si="8"/>
        <v>0</v>
      </c>
      <c r="L45" s="113"/>
      <c r="M45" s="98">
        <f t="shared" si="9"/>
        <v>0</v>
      </c>
      <c r="N45" s="98" t="str">
        <f>IFERROR(E45*L45*VLOOKUP(C45,VehicleTable[],13,0)/Planted_Acres,"")</f>
        <v/>
      </c>
    </row>
    <row r="46" spans="2:14" x14ac:dyDescent="0.25">
      <c r="B46" s="93"/>
      <c r="C46" s="93"/>
      <c r="D46" s="93" t="str">
        <f>IFERROR(VLOOKUP(C46,VehicleTable[],3,0),"")</f>
        <v/>
      </c>
      <c r="E46" s="93"/>
      <c r="F46" s="93"/>
      <c r="G46" s="110"/>
      <c r="H46" s="111" t="str">
        <f>IFERROR(F46*VLOOKUP(G46,LaborTable[],4,0)/Planted_Acres,"")</f>
        <v/>
      </c>
      <c r="I46" s="98" t="str">
        <f>IFERROR(E46*VLOOKUP(C46,VehicleTable[],15,0)*VLOOKUP(D46,FuelTable[],2,0)/Planted_Acres,"")</f>
        <v/>
      </c>
      <c r="J46" s="98" t="str">
        <f>IFERROR(E46*VLOOKUP(C46,VehicleTable[],14,0)/Planted_Acres,"")</f>
        <v/>
      </c>
      <c r="K46" s="112">
        <f t="shared" si="8"/>
        <v>0</v>
      </c>
      <c r="L46" s="113"/>
      <c r="M46" s="98">
        <f t="shared" si="9"/>
        <v>0</v>
      </c>
      <c r="N46" s="98" t="str">
        <f>IFERROR(E46*L46*VLOOKUP(C46,VehicleTable[],13,0)/Planted_Acres,"")</f>
        <v/>
      </c>
    </row>
    <row r="47" spans="2:14" ht="15.75" thickBot="1" x14ac:dyDescent="0.3">
      <c r="B47" s="114"/>
      <c r="C47" s="114"/>
      <c r="D47" s="114" t="str">
        <f>IFERROR(VLOOKUP(C47,VehicleTable[],3,0),"")</f>
        <v/>
      </c>
      <c r="E47" s="114"/>
      <c r="F47" s="114"/>
      <c r="G47" s="115"/>
      <c r="H47" s="116" t="str">
        <f>IFERROR(F47*VLOOKUP(G47,LaborTable[],4,0)/Planted_Acres,"")</f>
        <v/>
      </c>
      <c r="I47" s="117" t="str">
        <f>IFERROR(E47*VLOOKUP(C47,VehicleTable[],15,0)*VLOOKUP(D47,FuelTable[],2,0)/Planted_Acres,"")</f>
        <v/>
      </c>
      <c r="J47" s="117" t="str">
        <f>IFERROR(E47*VLOOKUP(C47,VehicleTable[],14,0)/Planted_Acres,"")</f>
        <v/>
      </c>
      <c r="K47" s="118">
        <f t="shared" si="8"/>
        <v>0</v>
      </c>
      <c r="L47" s="119"/>
      <c r="M47" s="117">
        <f t="shared" si="9"/>
        <v>0</v>
      </c>
      <c r="N47" s="117" t="str">
        <f>IFERROR(E47*L47*VLOOKUP(C47,VehicleTable[],13,0)/Planted_Acres,"")</f>
        <v/>
      </c>
    </row>
    <row r="48" spans="2:14" x14ac:dyDescent="0.25">
      <c r="B48" s="246" t="s">
        <v>146</v>
      </c>
      <c r="C48" s="247"/>
      <c r="D48" s="247"/>
      <c r="E48" s="247"/>
      <c r="F48" s="247"/>
      <c r="G48" s="247"/>
      <c r="H48" s="103">
        <f>SUMPRODUCT(H38:H47,$L38:$L47)</f>
        <v>7.7173714285714281</v>
      </c>
      <c r="I48" s="104">
        <f t="shared" ref="I48:J48" si="10">SUMPRODUCT(I38:I47,$L38:$L47)</f>
        <v>1.9208228571428572</v>
      </c>
      <c r="J48" s="104">
        <f t="shared" si="10"/>
        <v>1.6683428571428571</v>
      </c>
      <c r="K48" s="21"/>
      <c r="L48" s="106"/>
      <c r="M48" s="104">
        <f>SUM(M38:M47)</f>
        <v>11.306537142857142</v>
      </c>
      <c r="N48" s="104">
        <f>SUM(N38:N47)</f>
        <v>6.1517937305285617</v>
      </c>
    </row>
    <row r="50" spans="2:14" x14ac:dyDescent="0.25">
      <c r="B50" s="248" t="s">
        <v>170</v>
      </c>
      <c r="C50" s="248"/>
      <c r="D50" s="248"/>
      <c r="E50" s="248"/>
      <c r="F50" s="248"/>
      <c r="G50" s="248"/>
    </row>
    <row r="51" spans="2:14" ht="30" x14ac:dyDescent="0.25">
      <c r="B51" s="7" t="s">
        <v>171</v>
      </c>
      <c r="C51" s="7" t="s">
        <v>172</v>
      </c>
      <c r="D51" s="7" t="s">
        <v>173</v>
      </c>
      <c r="E51" s="36" t="s">
        <v>174</v>
      </c>
      <c r="F51" s="36" t="s">
        <v>175</v>
      </c>
      <c r="G51" s="36" t="s">
        <v>126</v>
      </c>
    </row>
    <row r="52" spans="2:14" x14ac:dyDescent="0.25">
      <c r="B52" s="93" t="s">
        <v>619</v>
      </c>
      <c r="C52" s="93" t="str">
        <f>IFERROR(VLOOKUP($B52,CustomServiceTable[],2,FALSE),"")</f>
        <v>2.5-acre grids</v>
      </c>
      <c r="D52" s="93" t="str">
        <f>IFERROR(VLOOKUP($B52,CustomServiceTable[],3,FALSE),"")</f>
        <v>acre</v>
      </c>
      <c r="E52" s="95">
        <f>IFERROR(VLOOKUP($B52,CustomServiceTable[],4,FALSE),"")</f>
        <v>10</v>
      </c>
      <c r="F52" s="93">
        <v>1</v>
      </c>
      <c r="G52" s="98">
        <f>IF(F52&gt;0,E52*F52,"")</f>
        <v>10</v>
      </c>
      <c r="N52" s="18"/>
    </row>
    <row r="53" spans="2:14" x14ac:dyDescent="0.25">
      <c r="B53" s="93" t="s">
        <v>624</v>
      </c>
      <c r="C53" s="93" t="str">
        <f>IFERROR(VLOOKUP($B53,CustomServiceTable[],2,FALSE),"")</f>
        <v>2.5-acre grids</v>
      </c>
      <c r="D53" s="93" t="str">
        <f>IFERROR(VLOOKUP($B53,CustomServiceTable[],3,FALSE),"")</f>
        <v>acre</v>
      </c>
      <c r="E53" s="95">
        <f>IFERROR(VLOOKUP($B53,CustomServiceTable[],4,FALSE),"")</f>
        <v>10</v>
      </c>
      <c r="F53" s="93">
        <v>1</v>
      </c>
      <c r="G53" s="98">
        <f t="shared" ref="G53:G61" si="11">IF(F53&gt;0,E53*F53,"")</f>
        <v>10</v>
      </c>
    </row>
    <row r="54" spans="2:14" x14ac:dyDescent="0.25">
      <c r="B54" s="93" t="s">
        <v>176</v>
      </c>
      <c r="C54" s="93" t="str">
        <f>IFERROR(VLOOKUP($B54,CustomServiceTable[],2,FALSE),"")</f>
        <v>agronomic</v>
      </c>
      <c r="D54" s="93" t="str">
        <f>IFERROR(VLOOKUP($B54,CustomServiceTable[],3,FALSE),"")</f>
        <v>acre</v>
      </c>
      <c r="E54" s="95">
        <f>IFERROR(VLOOKUP($B54,CustomServiceTable[],4,FALSE),"")</f>
        <v>10</v>
      </c>
      <c r="F54" s="93">
        <v>1</v>
      </c>
      <c r="G54" s="98">
        <f t="shared" si="11"/>
        <v>10</v>
      </c>
    </row>
    <row r="55" spans="2:14" x14ac:dyDescent="0.25">
      <c r="B55" s="93"/>
      <c r="C55" s="93" t="str">
        <f>IFERROR(VLOOKUP($B55,CustomServiceTable[],2,FALSE),"")</f>
        <v/>
      </c>
      <c r="D55" s="93" t="str">
        <f>IFERROR(VLOOKUP($B55,CustomServiceTable[],3,FALSE),"")</f>
        <v/>
      </c>
      <c r="E55" s="95" t="str">
        <f>IFERROR(VLOOKUP($B55,CustomServiceTable[],4,FALSE),"")</f>
        <v/>
      </c>
      <c r="F55" s="93"/>
      <c r="G55" s="98" t="str">
        <f t="shared" ref="G55" si="12">IF(F55&gt;0,E55*F55,"")</f>
        <v/>
      </c>
    </row>
    <row r="56" spans="2:14" x14ac:dyDescent="0.25">
      <c r="B56" s="93"/>
      <c r="C56" s="93" t="str">
        <f>IFERROR(VLOOKUP($B56,CustomServiceTable[],2,FALSE),"")</f>
        <v/>
      </c>
      <c r="D56" s="93" t="str">
        <f>IFERROR(VLOOKUP($B56,CustomServiceTable[],3,FALSE),"")</f>
        <v/>
      </c>
      <c r="E56" s="95" t="str">
        <f>IFERROR(VLOOKUP($B56,CustomServiceTable[],4,FALSE),"")</f>
        <v/>
      </c>
      <c r="F56" s="93"/>
      <c r="G56" s="98"/>
    </row>
    <row r="57" spans="2:14" x14ac:dyDescent="0.25">
      <c r="B57" s="93"/>
      <c r="C57" s="93" t="str">
        <f>IFERROR(VLOOKUP($B57,CustomServiceTable[],2,FALSE),"")</f>
        <v/>
      </c>
      <c r="D57" s="93" t="str">
        <f>IFERROR(VLOOKUP($B57,CustomServiceTable[],3,FALSE),"")</f>
        <v/>
      </c>
      <c r="E57" s="95" t="str">
        <f>IFERROR(VLOOKUP($B57,CustomServiceTable[],4,FALSE),"")</f>
        <v/>
      </c>
      <c r="F57" s="93"/>
      <c r="G57" s="98" t="str">
        <f t="shared" si="11"/>
        <v/>
      </c>
    </row>
    <row r="58" spans="2:14" x14ac:dyDescent="0.25">
      <c r="B58" s="93"/>
      <c r="C58" s="93" t="str">
        <f>IFERROR(VLOOKUP($B58,CustomServiceTable[],2,FALSE),"")</f>
        <v/>
      </c>
      <c r="D58" s="93" t="str">
        <f>IFERROR(VLOOKUP($B58,CustomServiceTable[],3,FALSE),"")</f>
        <v/>
      </c>
      <c r="E58" s="95" t="str">
        <f>IFERROR(VLOOKUP($B58,CustomServiceTable[],4,FALSE),"")</f>
        <v/>
      </c>
      <c r="F58" s="93"/>
      <c r="G58" s="98" t="str">
        <f t="shared" si="11"/>
        <v/>
      </c>
    </row>
    <row r="59" spans="2:14" x14ac:dyDescent="0.25">
      <c r="B59" s="93"/>
      <c r="C59" s="93" t="str">
        <f>IFERROR(VLOOKUP($B59,CustomServiceTable[],2,FALSE),"")</f>
        <v/>
      </c>
      <c r="D59" s="93" t="str">
        <f>IFERROR(VLOOKUP($B59,CustomServiceTable[],3,FALSE),"")</f>
        <v/>
      </c>
      <c r="E59" s="95" t="str">
        <f>IFERROR(VLOOKUP($B59,CustomServiceTable[],4,FALSE),"")</f>
        <v/>
      </c>
      <c r="F59" s="93"/>
      <c r="G59" s="98" t="str">
        <f t="shared" si="11"/>
        <v/>
      </c>
    </row>
    <row r="60" spans="2:14" x14ac:dyDescent="0.25">
      <c r="B60" s="93"/>
      <c r="C60" s="93" t="str">
        <f>IFERROR(VLOOKUP($B60,CustomServiceTable[],2,FALSE),"")</f>
        <v/>
      </c>
      <c r="D60" s="93" t="str">
        <f>IFERROR(VLOOKUP($B60,CustomServiceTable[],3,FALSE),"")</f>
        <v/>
      </c>
      <c r="E60" s="95" t="str">
        <f>IFERROR(VLOOKUP($B60,CustomServiceTable[],4,FALSE),"")</f>
        <v/>
      </c>
      <c r="F60" s="93"/>
      <c r="G60" s="98" t="str">
        <f t="shared" si="11"/>
        <v/>
      </c>
    </row>
    <row r="61" spans="2:14" x14ac:dyDescent="0.25">
      <c r="B61" s="93"/>
      <c r="C61" s="93" t="str">
        <f>IFERROR(VLOOKUP($B61,CustomServiceTable[],2,FALSE),"")</f>
        <v/>
      </c>
      <c r="D61" s="93" t="str">
        <f>IFERROR(VLOOKUP($B61,CustomServiceTable[],3,FALSE),"")</f>
        <v/>
      </c>
      <c r="E61" s="95" t="str">
        <f>IFERROR(VLOOKUP($B61,CustomServiceTable[],4,FALSE),"")</f>
        <v/>
      </c>
      <c r="F61" s="93"/>
      <c r="G61" s="98" t="str">
        <f t="shared" si="11"/>
        <v/>
      </c>
    </row>
    <row r="62" spans="2:14" x14ac:dyDescent="0.25">
      <c r="B62" s="236" t="s">
        <v>73</v>
      </c>
      <c r="C62" s="237"/>
      <c r="D62" s="237"/>
      <c r="E62" s="237"/>
      <c r="F62" s="253"/>
      <c r="G62" s="80">
        <f>SUM(G52:G61)</f>
        <v>30</v>
      </c>
    </row>
    <row r="64" spans="2:14" ht="30" x14ac:dyDescent="0.25">
      <c r="B64" s="221"/>
      <c r="C64" s="221"/>
      <c r="D64" s="221"/>
      <c r="E64" s="221"/>
      <c r="F64" s="221"/>
      <c r="G64" s="8" t="s">
        <v>177</v>
      </c>
      <c r="H64" s="8" t="s">
        <v>30</v>
      </c>
      <c r="I64" s="36" t="s">
        <v>178</v>
      </c>
      <c r="J64" s="8" t="s">
        <v>179</v>
      </c>
      <c r="K64" s="36" t="s">
        <v>180</v>
      </c>
      <c r="L64" s="254" t="s">
        <v>181</v>
      </c>
      <c r="M64" s="254"/>
      <c r="N64" s="36" t="s">
        <v>182</v>
      </c>
    </row>
    <row r="65" spans="2:14" x14ac:dyDescent="0.25">
      <c r="B65" s="221" t="s">
        <v>183</v>
      </c>
      <c r="C65" s="221"/>
      <c r="D65" s="221"/>
      <c r="E65" s="221"/>
      <c r="F65" s="221"/>
      <c r="G65" s="80">
        <f>CustomCostPerAcre</f>
        <v>30</v>
      </c>
      <c r="H65" s="80">
        <f>H25+H34+H48</f>
        <v>31.439999975510204</v>
      </c>
      <c r="I65" s="80">
        <f t="shared" ref="I65:J65" si="13">I25+I34+I48</f>
        <v>87.09904269688009</v>
      </c>
      <c r="J65" s="80">
        <f t="shared" si="13"/>
        <v>64.359010876081456</v>
      </c>
      <c r="K65" s="80">
        <f>SUM(G65:J65)</f>
        <v>212.89805354847175</v>
      </c>
      <c r="L65" s="239">
        <f>N25+N34+N48</f>
        <v>170.79472609863134</v>
      </c>
      <c r="M65" s="239"/>
      <c r="N65" s="80">
        <f>K65+L65</f>
        <v>383.69277964710307</v>
      </c>
    </row>
    <row r="67" spans="2:14" x14ac:dyDescent="0.25">
      <c r="B67" s="238" t="s">
        <v>635</v>
      </c>
      <c r="C67" s="238"/>
      <c r="D67" s="238"/>
      <c r="E67" s="238"/>
      <c r="F67" s="238"/>
      <c r="G67" s="238"/>
    </row>
    <row r="68" spans="2:14" x14ac:dyDescent="0.25">
      <c r="B68" s="238"/>
      <c r="C68" s="238"/>
      <c r="D68" s="238"/>
      <c r="E68" s="238"/>
      <c r="F68" s="238"/>
      <c r="G68" s="238"/>
    </row>
  </sheetData>
  <sheetProtection algorithmName="SHA-512" hashValue="Bb4a98Yagl1JFEKCCLnDbhqTsYr+It3ZdQEU0C6r+k2Ss9ES0UnyDLeimglP3TEO1Ewpe28YEd4E4SH4mnz6iQ==" saltValue="xeu+6M/Q18W7hoVI6CoIFQ==" spinCount="100000" sheet="1" objects="1" scenarios="1"/>
  <mergeCells count="20">
    <mergeCell ref="B28:D28"/>
    <mergeCell ref="B1:N1"/>
    <mergeCell ref="B62:F62"/>
    <mergeCell ref="L64:M64"/>
    <mergeCell ref="B25:G25"/>
    <mergeCell ref="B3:N3"/>
    <mergeCell ref="B27:N27"/>
    <mergeCell ref="B67:G68"/>
    <mergeCell ref="L65:M65"/>
    <mergeCell ref="B29:D29"/>
    <mergeCell ref="B30:D30"/>
    <mergeCell ref="B31:D31"/>
    <mergeCell ref="B32:D32"/>
    <mergeCell ref="B33:D33"/>
    <mergeCell ref="B64:F64"/>
    <mergeCell ref="B48:G48"/>
    <mergeCell ref="B36:N36"/>
    <mergeCell ref="B50:G50"/>
    <mergeCell ref="B65:F65"/>
    <mergeCell ref="B34:D34"/>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1 F16:F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35" t="s">
        <v>184</v>
      </c>
      <c r="C1" s="235"/>
      <c r="D1" s="235"/>
      <c r="E1" s="235"/>
      <c r="F1" s="235"/>
    </row>
    <row r="3" spans="2:6" x14ac:dyDescent="0.25">
      <c r="B3" s="7" t="s">
        <v>185</v>
      </c>
      <c r="C3" s="257" t="s">
        <v>654</v>
      </c>
      <c r="D3" s="257"/>
      <c r="E3" s="257"/>
    </row>
    <row r="4" spans="2:6" x14ac:dyDescent="0.25">
      <c r="B4" s="7" t="s">
        <v>186</v>
      </c>
      <c r="C4" s="257" t="s">
        <v>659</v>
      </c>
      <c r="D4" s="257"/>
      <c r="E4" s="257"/>
    </row>
    <row r="6" spans="2:6" x14ac:dyDescent="0.25">
      <c r="B6" s="221" t="s">
        <v>187</v>
      </c>
      <c r="C6" s="221"/>
      <c r="D6" s="221"/>
      <c r="E6" s="221"/>
    </row>
    <row r="7" spans="2:6" x14ac:dyDescent="0.25">
      <c r="B7" s="48" t="s">
        <v>188</v>
      </c>
      <c r="C7" s="48" t="s">
        <v>20</v>
      </c>
      <c r="D7" s="49" t="s">
        <v>189</v>
      </c>
      <c r="E7" s="49" t="s">
        <v>21</v>
      </c>
      <c r="F7" s="28"/>
    </row>
    <row r="8" spans="2:6" x14ac:dyDescent="0.25">
      <c r="B8" s="93" t="s">
        <v>190</v>
      </c>
      <c r="C8" s="93" t="s">
        <v>191</v>
      </c>
      <c r="D8" s="93">
        <v>160</v>
      </c>
      <c r="E8" s="93">
        <v>140</v>
      </c>
    </row>
    <row r="9" spans="2:6" x14ac:dyDescent="0.25">
      <c r="B9" s="221" t="s">
        <v>192</v>
      </c>
      <c r="C9" s="221"/>
      <c r="D9" s="221"/>
      <c r="E9" s="8" t="s">
        <v>193</v>
      </c>
    </row>
    <row r="10" spans="2:6" x14ac:dyDescent="0.25">
      <c r="B10" s="240" t="s">
        <v>194</v>
      </c>
      <c r="C10" s="241"/>
      <c r="D10" s="242"/>
      <c r="E10" s="93">
        <v>1</v>
      </c>
    </row>
    <row r="11" spans="2:6" x14ac:dyDescent="0.25">
      <c r="B11" s="7" t="s">
        <v>195</v>
      </c>
      <c r="C11" s="8" t="s">
        <v>196</v>
      </c>
      <c r="D11" s="8" t="s">
        <v>197</v>
      </c>
      <c r="E11" s="8" t="s">
        <v>198</v>
      </c>
      <c r="F11" s="47"/>
    </row>
    <row r="12" spans="2:6" x14ac:dyDescent="0.25">
      <c r="B12" s="93" t="s">
        <v>199</v>
      </c>
      <c r="C12" s="93">
        <v>10</v>
      </c>
      <c r="D12" s="93">
        <v>200</v>
      </c>
      <c r="E12" s="93">
        <v>60</v>
      </c>
    </row>
    <row r="13" spans="2:6" x14ac:dyDescent="0.25">
      <c r="B13" s="7" t="s">
        <v>200</v>
      </c>
      <c r="C13" s="8" t="s">
        <v>201</v>
      </c>
      <c r="D13" s="56" t="s">
        <v>202</v>
      </c>
      <c r="E13" s="40" t="s">
        <v>203</v>
      </c>
      <c r="F13" s="18"/>
    </row>
    <row r="14" spans="2:6" x14ac:dyDescent="0.25">
      <c r="B14" s="93" t="s">
        <v>204</v>
      </c>
      <c r="C14" s="123">
        <v>100</v>
      </c>
      <c r="D14" s="124" t="str">
        <f>IF($B14="Diesel",INDEX(IrrigDieselUseTable,MATCH($D12,IrrigDieselLiftFeet,0),MATCH($E12,IrrigDieselPSI,0)),"")</f>
        <v/>
      </c>
      <c r="E14" s="124">
        <f>IF($B14="Electric",INDEX(IrrigElectricUseTable,MATCH($D12,IrrigElectricLiftFeet,0),MATCH($E12,IrrigElectricPSI,0)),"")</f>
        <v>54.538499999999992</v>
      </c>
    </row>
    <row r="15" spans="2:6" x14ac:dyDescent="0.25">
      <c r="B15" s="7" t="s">
        <v>205</v>
      </c>
      <c r="C15" s="221" t="s">
        <v>206</v>
      </c>
      <c r="D15" s="221"/>
      <c r="E15" s="221"/>
    </row>
    <row r="16" spans="2:6" x14ac:dyDescent="0.25">
      <c r="B16" s="125">
        <f>IF(B14="Diesel",D14*DieselOR_CostPerGal,IF(B14="Electric",E14*Electric_VarCostPerKWH,""))</f>
        <v>6.5446199999999992</v>
      </c>
      <c r="C16" s="259">
        <v>2.6</v>
      </c>
      <c r="D16" s="259"/>
      <c r="E16" s="259"/>
    </row>
    <row r="18" spans="2:6" x14ac:dyDescent="0.25">
      <c r="B18" s="7" t="s">
        <v>207</v>
      </c>
      <c r="C18" s="93" t="s">
        <v>652</v>
      </c>
    </row>
    <row r="20" spans="2:6" x14ac:dyDescent="0.25">
      <c r="B20" s="221" t="s">
        <v>208</v>
      </c>
      <c r="C20" s="221"/>
      <c r="D20" s="221"/>
      <c r="E20" s="221"/>
    </row>
    <row r="21" spans="2:6" ht="30" x14ac:dyDescent="0.25">
      <c r="B21" s="11" t="s">
        <v>209</v>
      </c>
      <c r="C21" s="23"/>
      <c r="D21" s="13" t="s">
        <v>210</v>
      </c>
      <c r="E21" s="12" t="s">
        <v>88</v>
      </c>
    </row>
    <row r="22" spans="2:6" x14ac:dyDescent="0.25">
      <c r="B22" s="257" t="s">
        <v>211</v>
      </c>
      <c r="C22" s="257"/>
      <c r="D22" s="126">
        <f>250*160</f>
        <v>40000</v>
      </c>
      <c r="E22" s="96">
        <f t="shared" ref="E22:E27" si="0">IFERROR(D22/Planted_Acres/CashCropsPerYear,"")</f>
        <v>285.71428571428572</v>
      </c>
    </row>
    <row r="23" spans="2:6" x14ac:dyDescent="0.25">
      <c r="B23" s="257" t="s">
        <v>212</v>
      </c>
      <c r="C23" s="257"/>
      <c r="D23" s="126"/>
      <c r="E23" s="96">
        <f t="shared" si="0"/>
        <v>0</v>
      </c>
    </row>
    <row r="24" spans="2:6" x14ac:dyDescent="0.25">
      <c r="B24" s="257" t="s">
        <v>213</v>
      </c>
      <c r="C24" s="257"/>
      <c r="D24" s="126"/>
      <c r="E24" s="96">
        <f t="shared" si="0"/>
        <v>0</v>
      </c>
    </row>
    <row r="25" spans="2:6" x14ac:dyDescent="0.25">
      <c r="B25" s="240" t="s">
        <v>214</v>
      </c>
      <c r="C25" s="242"/>
      <c r="D25" s="126"/>
      <c r="E25" s="96">
        <f t="shared" si="0"/>
        <v>0</v>
      </c>
    </row>
    <row r="26" spans="2:6" ht="16.5" x14ac:dyDescent="0.25">
      <c r="B26" s="257" t="s">
        <v>215</v>
      </c>
      <c r="C26" s="257"/>
      <c r="D26" s="126"/>
      <c r="E26" s="96">
        <f t="shared" si="0"/>
        <v>0</v>
      </c>
    </row>
    <row r="27" spans="2:6" x14ac:dyDescent="0.25">
      <c r="B27" s="257"/>
      <c r="C27" s="257"/>
      <c r="D27" s="126"/>
      <c r="E27" s="96">
        <f t="shared" si="0"/>
        <v>0</v>
      </c>
    </row>
    <row r="28" spans="2:6" x14ac:dyDescent="0.25">
      <c r="B28" s="258" t="s">
        <v>216</v>
      </c>
      <c r="C28" s="258"/>
      <c r="D28" s="57">
        <f>SUM(D22:D27)</f>
        <v>40000</v>
      </c>
      <c r="E28" s="57">
        <f>SUM(E22:E27)</f>
        <v>285.71428571428572</v>
      </c>
    </row>
    <row r="29" spans="2:6" ht="16.5" x14ac:dyDescent="0.25">
      <c r="B29" s="62" t="s">
        <v>217</v>
      </c>
      <c r="C29" s="62"/>
      <c r="D29" s="62"/>
      <c r="E29" s="62"/>
      <c r="F29" s="84"/>
    </row>
    <row r="31" spans="2:6" x14ac:dyDescent="0.25">
      <c r="B31" s="221" t="s">
        <v>218</v>
      </c>
      <c r="C31" s="221"/>
      <c r="D31" s="221"/>
      <c r="E31" s="221"/>
      <c r="F31" s="221"/>
    </row>
    <row r="32" spans="2:6" ht="30" x14ac:dyDescent="0.25">
      <c r="B32" s="50" t="s">
        <v>219</v>
      </c>
      <c r="C32" s="51" t="s">
        <v>220</v>
      </c>
      <c r="D32" s="51" t="s">
        <v>221</v>
      </c>
      <c r="E32" s="51" t="s">
        <v>222</v>
      </c>
      <c r="F32" s="49" t="s">
        <v>216</v>
      </c>
    </row>
    <row r="33" spans="2:6" x14ac:dyDescent="0.25">
      <c r="B33" s="93" t="s">
        <v>653</v>
      </c>
      <c r="C33" s="126"/>
      <c r="D33" s="126"/>
      <c r="E33" s="126"/>
      <c r="F33" s="96">
        <f>SUM(C33:E33)</f>
        <v>0</v>
      </c>
    </row>
    <row r="34" spans="2:6" x14ac:dyDescent="0.25">
      <c r="B34" s="93" t="s">
        <v>223</v>
      </c>
      <c r="C34" s="126"/>
      <c r="D34" s="126"/>
      <c r="E34" s="126">
        <v>530</v>
      </c>
      <c r="F34" s="96">
        <f t="shared" ref="F34:F39" si="1">SUM(C34:E34)</f>
        <v>530</v>
      </c>
    </row>
    <row r="35" spans="2:6" x14ac:dyDescent="0.25">
      <c r="B35" s="93" t="s">
        <v>224</v>
      </c>
      <c r="C35" s="126">
        <v>213</v>
      </c>
      <c r="D35" s="126">
        <v>28</v>
      </c>
      <c r="E35" s="126">
        <v>0</v>
      </c>
      <c r="F35" s="96">
        <f t="shared" si="1"/>
        <v>241</v>
      </c>
    </row>
    <row r="36" spans="2:6" x14ac:dyDescent="0.25">
      <c r="B36" s="93" t="s">
        <v>225</v>
      </c>
      <c r="C36" s="126">
        <v>480</v>
      </c>
      <c r="D36" s="126">
        <v>17</v>
      </c>
      <c r="E36" s="126">
        <v>21</v>
      </c>
      <c r="F36" s="96">
        <f t="shared" si="1"/>
        <v>518</v>
      </c>
    </row>
    <row r="37" spans="2:6" x14ac:dyDescent="0.25">
      <c r="B37" s="93" t="s">
        <v>226</v>
      </c>
      <c r="C37" s="126"/>
      <c r="D37" s="126"/>
      <c r="E37" s="126">
        <v>200</v>
      </c>
      <c r="F37" s="96">
        <f t="shared" si="1"/>
        <v>200</v>
      </c>
    </row>
    <row r="38" spans="2:6" x14ac:dyDescent="0.25">
      <c r="B38" s="93"/>
      <c r="C38" s="126"/>
      <c r="D38" s="126"/>
      <c r="E38" s="126"/>
      <c r="F38" s="96">
        <f t="shared" si="1"/>
        <v>0</v>
      </c>
    </row>
    <row r="39" spans="2:6" x14ac:dyDescent="0.25">
      <c r="B39" s="10" t="s">
        <v>227</v>
      </c>
      <c r="C39" s="24">
        <f>SUM(C33:C38)</f>
        <v>693</v>
      </c>
      <c r="D39" s="24">
        <f t="shared" ref="D39:E39" si="2">SUM(D33:D38)</f>
        <v>45</v>
      </c>
      <c r="E39" s="24">
        <f t="shared" si="2"/>
        <v>751</v>
      </c>
      <c r="F39" s="24">
        <f t="shared" si="1"/>
        <v>1489</v>
      </c>
    </row>
    <row r="40" spans="2:6" x14ac:dyDescent="0.25">
      <c r="B40" s="10" t="s">
        <v>228</v>
      </c>
      <c r="C40" s="53">
        <f>IFERROR(C39/Planted_Acres/CashCropsPerYear,"")</f>
        <v>4.95</v>
      </c>
      <c r="D40" s="53">
        <f>IFERROR(D39/Planted_Acres/CashCropsPerYear,"")</f>
        <v>0.32142857142857145</v>
      </c>
      <c r="E40" s="53">
        <f>IFERROR(E39/Planted_Acres/CashCropsPerYear,"")</f>
        <v>5.3642857142857139</v>
      </c>
      <c r="F40" s="53">
        <f>IFERROR(F39/Planted_Acres/CashCropsPerYear,"")</f>
        <v>10.635714285714286</v>
      </c>
    </row>
    <row r="42" spans="2:6" x14ac:dyDescent="0.25">
      <c r="B42" s="221" t="s">
        <v>229</v>
      </c>
      <c r="C42" s="221"/>
      <c r="D42" s="221"/>
      <c r="E42" s="221"/>
      <c r="F42" s="221"/>
    </row>
    <row r="43" spans="2:6" x14ac:dyDescent="0.25">
      <c r="B43" s="255" t="s">
        <v>230</v>
      </c>
      <c r="C43" s="255"/>
      <c r="D43" s="255"/>
      <c r="E43" s="255"/>
      <c r="F43" s="255"/>
    </row>
    <row r="44" spans="2:6" x14ac:dyDescent="0.25">
      <c r="B44" s="256"/>
      <c r="C44" s="256"/>
      <c r="D44" s="256"/>
      <c r="E44" s="256"/>
      <c r="F44" s="256"/>
    </row>
    <row r="45" spans="2:6" x14ac:dyDescent="0.25">
      <c r="B45" s="256"/>
      <c r="C45" s="256"/>
      <c r="D45" s="256"/>
      <c r="E45" s="256"/>
      <c r="F45" s="256"/>
    </row>
    <row r="46" spans="2:6" x14ac:dyDescent="0.25">
      <c r="B46" s="256"/>
      <c r="C46" s="256"/>
      <c r="D46" s="256"/>
      <c r="E46" s="256"/>
      <c r="F46" s="256"/>
    </row>
    <row r="47" spans="2:6" x14ac:dyDescent="0.25">
      <c r="B47" s="256"/>
      <c r="C47" s="256"/>
      <c r="D47" s="256"/>
      <c r="E47" s="256"/>
      <c r="F47" s="256"/>
    </row>
    <row r="48" spans="2:6" x14ac:dyDescent="0.25">
      <c r="B48" s="256"/>
      <c r="C48" s="256"/>
      <c r="D48" s="256"/>
      <c r="E48" s="256"/>
      <c r="F48" s="256"/>
    </row>
    <row r="50" spans="2:6" x14ac:dyDescent="0.25">
      <c r="B50" s="221" t="s">
        <v>231</v>
      </c>
      <c r="C50" s="221"/>
      <c r="D50" s="221"/>
      <c r="E50" s="221"/>
      <c r="F50" s="221"/>
    </row>
    <row r="51" spans="2:6" x14ac:dyDescent="0.25">
      <c r="B51" s="255" t="s">
        <v>637</v>
      </c>
      <c r="C51" s="255"/>
      <c r="D51" s="255"/>
      <c r="E51" s="255"/>
      <c r="F51" s="255"/>
    </row>
    <row r="52" spans="2:6" x14ac:dyDescent="0.25">
      <c r="B52" s="256"/>
      <c r="C52" s="256"/>
      <c r="D52" s="256"/>
      <c r="E52" s="256"/>
      <c r="F52" s="256"/>
    </row>
    <row r="53" spans="2:6" x14ac:dyDescent="0.25">
      <c r="B53" s="256"/>
      <c r="C53" s="256"/>
      <c r="D53" s="256"/>
      <c r="E53" s="256"/>
      <c r="F53" s="256"/>
    </row>
    <row r="54" spans="2:6" x14ac:dyDescent="0.25">
      <c r="B54" s="256"/>
      <c r="C54" s="256"/>
      <c r="D54" s="256"/>
      <c r="E54" s="256"/>
      <c r="F54" s="256"/>
    </row>
  </sheetData>
  <sheetProtection algorithmName="SHA-512" hashValue="8iPN9Lm96UJ75zF/9myfgqIzI9JOIrMFsRdiqrHSfqaVA4FaNuuw/F2anlQvffO6W/rrLL23PwVNjieLR54csg==" saltValue="z4gCA2i4mWRNfITyv1Mqsw==" spinCount="100000" sheet="1" objects="1" scenarios="1"/>
  <mergeCells count="21">
    <mergeCell ref="B50:F50"/>
    <mergeCell ref="B10:D10"/>
    <mergeCell ref="C3:E3"/>
    <mergeCell ref="C4:E4"/>
    <mergeCell ref="B43:F48"/>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9" customWidth="1"/>
    <col min="2" max="2" width="32.7109375" style="39" customWidth="1"/>
    <col min="3" max="3" width="18.85546875" style="39" customWidth="1"/>
    <col min="4" max="4" width="17" style="39" customWidth="1"/>
    <col min="5" max="5" width="16.7109375" style="39" customWidth="1"/>
    <col min="6" max="16384" width="9.140625" style="39"/>
  </cols>
  <sheetData>
    <row r="1" spans="2:5" ht="19.5" thickBot="1" x14ac:dyDescent="0.35">
      <c r="B1" s="235" t="s">
        <v>661</v>
      </c>
      <c r="C1" s="235"/>
      <c r="D1" s="235"/>
      <c r="E1" s="235"/>
    </row>
    <row r="3" spans="2:5" x14ac:dyDescent="0.25">
      <c r="B3" s="73" t="s">
        <v>232</v>
      </c>
      <c r="C3" s="74" t="s">
        <v>233</v>
      </c>
      <c r="D3" s="74" t="s">
        <v>234</v>
      </c>
      <c r="E3" s="72" t="s">
        <v>235</v>
      </c>
    </row>
    <row r="4" spans="2:5" x14ac:dyDescent="0.25">
      <c r="B4" s="127" t="s">
        <v>131</v>
      </c>
      <c r="C4" s="99">
        <v>19.77</v>
      </c>
      <c r="D4" s="128">
        <v>0.2</v>
      </c>
      <c r="E4" s="183">
        <f>IF(ISBLANK(C4),"",C4*(1+D4))</f>
        <v>23.724</v>
      </c>
    </row>
    <row r="5" spans="2:5" x14ac:dyDescent="0.25">
      <c r="B5" s="120" t="s">
        <v>157</v>
      </c>
      <c r="C5" s="97">
        <v>15.21</v>
      </c>
      <c r="D5" s="129">
        <v>0.2</v>
      </c>
      <c r="E5" s="183">
        <f t="shared" ref="E5:E8" si="0">IF(ISBLANK(C5),"",C5*(1+D5))</f>
        <v>18.251999999999999</v>
      </c>
    </row>
    <row r="6" spans="2:5" x14ac:dyDescent="0.25">
      <c r="B6" s="120" t="s">
        <v>236</v>
      </c>
      <c r="C6" s="95">
        <v>0</v>
      </c>
      <c r="D6" s="130">
        <v>0</v>
      </c>
      <c r="E6" s="183">
        <f t="shared" si="0"/>
        <v>0</v>
      </c>
    </row>
    <row r="7" spans="2:5" x14ac:dyDescent="0.25">
      <c r="B7" s="120"/>
      <c r="C7" s="95"/>
      <c r="D7" s="130"/>
      <c r="E7" s="183" t="str">
        <f t="shared" si="0"/>
        <v/>
      </c>
    </row>
    <row r="8" spans="2:5" x14ac:dyDescent="0.25">
      <c r="B8" s="131"/>
      <c r="C8" s="132"/>
      <c r="D8" s="133"/>
      <c r="E8" s="184" t="str">
        <f t="shared" si="0"/>
        <v/>
      </c>
    </row>
    <row r="10" spans="2:5" x14ac:dyDescent="0.25">
      <c r="B10" s="77" t="s">
        <v>237</v>
      </c>
      <c r="C10" s="78" t="s">
        <v>238</v>
      </c>
    </row>
    <row r="11" spans="2:5" x14ac:dyDescent="0.25">
      <c r="B11" s="75" t="s">
        <v>168</v>
      </c>
      <c r="C11" s="134">
        <v>2.98</v>
      </c>
    </row>
    <row r="12" spans="2:5" x14ac:dyDescent="0.25">
      <c r="B12" s="76" t="s">
        <v>239</v>
      </c>
      <c r="C12" s="135">
        <v>3.53</v>
      </c>
    </row>
    <row r="13" spans="2:5" x14ac:dyDescent="0.25">
      <c r="B13" s="76" t="s">
        <v>240</v>
      </c>
      <c r="C13" s="135">
        <v>2.91</v>
      </c>
    </row>
    <row r="14" spans="2:5" x14ac:dyDescent="0.25">
      <c r="B14" s="120"/>
      <c r="C14" s="135"/>
    </row>
    <row r="15" spans="2:5" x14ac:dyDescent="0.25">
      <c r="B15" s="131"/>
      <c r="C15" s="136"/>
    </row>
    <row r="17" spans="2:5" x14ac:dyDescent="0.25">
      <c r="B17" s="27" t="s">
        <v>241</v>
      </c>
      <c r="C17" s="40" t="s">
        <v>242</v>
      </c>
    </row>
    <row r="18" spans="2:5" x14ac:dyDescent="0.25">
      <c r="B18" s="25" t="s">
        <v>243</v>
      </c>
      <c r="C18" s="137">
        <v>280</v>
      </c>
    </row>
    <row r="19" spans="2:5" x14ac:dyDescent="0.25">
      <c r="B19" s="16" t="s">
        <v>244</v>
      </c>
      <c r="C19" s="95">
        <v>0.12</v>
      </c>
    </row>
    <row r="21" spans="2:5" x14ac:dyDescent="0.25">
      <c r="B21" s="41" t="s">
        <v>245</v>
      </c>
      <c r="C21" s="40" t="s">
        <v>246</v>
      </c>
    </row>
    <row r="22" spans="2:5" x14ac:dyDescent="0.25">
      <c r="B22" s="25" t="s">
        <v>247</v>
      </c>
      <c r="C22" s="138">
        <v>8.2699999999999996E-2</v>
      </c>
    </row>
    <row r="23" spans="2:5" x14ac:dyDescent="0.25">
      <c r="B23" s="16" t="s">
        <v>248</v>
      </c>
      <c r="C23" s="93">
        <v>8</v>
      </c>
    </row>
    <row r="24" spans="2:5" x14ac:dyDescent="0.25">
      <c r="B24" s="16" t="s">
        <v>249</v>
      </c>
      <c r="C24" s="185">
        <f>(((1+C22)^(1/12))^C23)-1</f>
        <v>5.4400066206169218E-2</v>
      </c>
    </row>
    <row r="26" spans="2:5" x14ac:dyDescent="0.25">
      <c r="B26" s="30" t="s">
        <v>250</v>
      </c>
      <c r="C26" s="79" t="s">
        <v>172</v>
      </c>
      <c r="D26" s="79" t="s">
        <v>173</v>
      </c>
      <c r="E26" s="64" t="s">
        <v>174</v>
      </c>
    </row>
    <row r="27" spans="2:5" x14ac:dyDescent="0.25">
      <c r="B27" s="93" t="s">
        <v>619</v>
      </c>
      <c r="C27" s="93" t="s">
        <v>620</v>
      </c>
      <c r="D27" s="93" t="s">
        <v>252</v>
      </c>
      <c r="E27" s="95">
        <v>10</v>
      </c>
    </row>
    <row r="28" spans="2:5" x14ac:dyDescent="0.25">
      <c r="B28" s="93" t="s">
        <v>621</v>
      </c>
      <c r="C28" s="93" t="s">
        <v>251</v>
      </c>
      <c r="D28" s="93" t="s">
        <v>252</v>
      </c>
      <c r="E28" s="95">
        <v>7.5</v>
      </c>
    </row>
    <row r="29" spans="2:5" x14ac:dyDescent="0.25">
      <c r="B29" s="93" t="s">
        <v>622</v>
      </c>
      <c r="C29" s="93" t="s">
        <v>623</v>
      </c>
      <c r="D29" s="93" t="s">
        <v>252</v>
      </c>
      <c r="E29" s="95">
        <v>5.5</v>
      </c>
    </row>
    <row r="30" spans="2:5" x14ac:dyDescent="0.25">
      <c r="B30" s="93" t="s">
        <v>624</v>
      </c>
      <c r="C30" s="93" t="s">
        <v>620</v>
      </c>
      <c r="D30" s="93" t="s">
        <v>252</v>
      </c>
      <c r="E30" s="95">
        <v>10</v>
      </c>
    </row>
    <row r="31" spans="2:5" x14ac:dyDescent="0.25">
      <c r="B31" s="93" t="s">
        <v>625</v>
      </c>
      <c r="C31" s="93" t="s">
        <v>251</v>
      </c>
      <c r="D31" s="93" t="s">
        <v>252</v>
      </c>
      <c r="E31" s="95">
        <v>7.5</v>
      </c>
    </row>
    <row r="32" spans="2:5" x14ac:dyDescent="0.25">
      <c r="B32" s="93" t="s">
        <v>626</v>
      </c>
      <c r="C32" s="93" t="s">
        <v>623</v>
      </c>
      <c r="D32" s="93" t="s">
        <v>252</v>
      </c>
      <c r="E32" s="95">
        <v>5.5</v>
      </c>
    </row>
    <row r="33" spans="2:5" x14ac:dyDescent="0.25">
      <c r="B33" s="93" t="s">
        <v>627</v>
      </c>
      <c r="C33" s="93" t="s">
        <v>253</v>
      </c>
      <c r="D33" s="93" t="s">
        <v>254</v>
      </c>
      <c r="E33" s="95">
        <v>8</v>
      </c>
    </row>
    <row r="34" spans="2:5" x14ac:dyDescent="0.25">
      <c r="B34" s="93" t="s">
        <v>176</v>
      </c>
      <c r="C34" s="93" t="s">
        <v>255</v>
      </c>
      <c r="D34" s="93" t="s">
        <v>252</v>
      </c>
      <c r="E34" s="95">
        <v>10</v>
      </c>
    </row>
    <row r="35" spans="2:5" x14ac:dyDescent="0.25">
      <c r="B35" s="93" t="s">
        <v>256</v>
      </c>
      <c r="C35" s="93" t="s">
        <v>257</v>
      </c>
      <c r="D35" s="93" t="s">
        <v>258</v>
      </c>
      <c r="E35" s="95">
        <v>35.75</v>
      </c>
    </row>
    <row r="36" spans="2:5" x14ac:dyDescent="0.25">
      <c r="B36" s="93" t="s">
        <v>259</v>
      </c>
      <c r="C36" s="93" t="s">
        <v>260</v>
      </c>
      <c r="D36" s="93" t="s">
        <v>261</v>
      </c>
      <c r="E36" s="95">
        <v>0.21</v>
      </c>
    </row>
    <row r="37" spans="2:5" x14ac:dyDescent="0.25">
      <c r="B37" s="93" t="s">
        <v>262</v>
      </c>
      <c r="C37" s="93" t="s">
        <v>263</v>
      </c>
      <c r="D37" s="93" t="s">
        <v>261</v>
      </c>
      <c r="E37" s="95">
        <v>0.3</v>
      </c>
    </row>
    <row r="38" spans="2:5" x14ac:dyDescent="0.25">
      <c r="B38" s="93" t="s">
        <v>264</v>
      </c>
      <c r="C38" s="93" t="s">
        <v>265</v>
      </c>
      <c r="D38" s="93" t="s">
        <v>254</v>
      </c>
      <c r="E38" s="95">
        <v>12</v>
      </c>
    </row>
    <row r="39" spans="2:5" x14ac:dyDescent="0.25">
      <c r="B39" s="93" t="s">
        <v>266</v>
      </c>
      <c r="C39" s="93" t="s">
        <v>265</v>
      </c>
      <c r="D39" s="93" t="s">
        <v>254</v>
      </c>
      <c r="E39" s="95">
        <v>12</v>
      </c>
    </row>
    <row r="40" spans="2:5" x14ac:dyDescent="0.25">
      <c r="B40" s="93" t="s">
        <v>628</v>
      </c>
      <c r="C40" s="93" t="s">
        <v>629</v>
      </c>
      <c r="D40" s="93" t="s">
        <v>252</v>
      </c>
      <c r="E40" s="95">
        <v>9</v>
      </c>
    </row>
    <row r="41" spans="2:5" x14ac:dyDescent="0.25">
      <c r="B41" s="93" t="s">
        <v>630</v>
      </c>
      <c r="C41" s="93" t="s">
        <v>631</v>
      </c>
      <c r="D41" s="93" t="s">
        <v>252</v>
      </c>
      <c r="E41" s="95">
        <v>12</v>
      </c>
    </row>
    <row r="42" spans="2:5" x14ac:dyDescent="0.25">
      <c r="B42" s="139" t="s">
        <v>632</v>
      </c>
      <c r="C42" s="139" t="s">
        <v>633</v>
      </c>
      <c r="D42" s="139" t="s">
        <v>634</v>
      </c>
      <c r="E42" s="132">
        <v>15</v>
      </c>
    </row>
    <row r="43" spans="2:5" x14ac:dyDescent="0.25">
      <c r="B43" s="93"/>
      <c r="C43" s="93"/>
      <c r="D43" s="93"/>
      <c r="E43" s="95"/>
    </row>
    <row r="44" spans="2:5" x14ac:dyDescent="0.25">
      <c r="B44" s="139"/>
      <c r="C44" s="139"/>
      <c r="D44" s="139"/>
      <c r="E44" s="132"/>
    </row>
  </sheetData>
  <sheetProtection algorithmName="SHA-512" hashValue="9bBiDpfj3zak/6FBomeHJvFvjTDYNZKV1Px/glwosORrmfDJGwgrJ/WwdbH8Q0vmFgAi9WjH68Bkqur0ouSumw==" saltValue="sg0Y8M0OnccaLtQ2/hHu+Q=="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1"/>
  <sheetViews>
    <sheetView workbookViewId="0"/>
  </sheetViews>
  <sheetFormatPr defaultColWidth="8.85546875" defaultRowHeight="15" x14ac:dyDescent="0.25"/>
  <cols>
    <col min="1" max="1" width="4.7109375" style="39" customWidth="1"/>
    <col min="2" max="2" width="33.7109375" style="39" customWidth="1"/>
    <col min="3" max="3" width="30.7109375" style="39" customWidth="1"/>
    <col min="4" max="5" width="13.7109375" style="39" customWidth="1"/>
    <col min="6" max="6" width="15.7109375" style="39" customWidth="1"/>
    <col min="7" max="7" width="17.7109375" style="39" customWidth="1"/>
    <col min="8" max="8" width="15.7109375" style="39" customWidth="1"/>
    <col min="9" max="9" width="8.85546875" style="39"/>
    <col min="10" max="10" width="14.7109375" style="39" customWidth="1"/>
    <col min="11" max="16384" width="8.85546875" style="39"/>
  </cols>
  <sheetData>
    <row r="1" spans="2:10" ht="19.5" thickBot="1" x14ac:dyDescent="0.35">
      <c r="B1" s="235" t="s">
        <v>655</v>
      </c>
      <c r="C1" s="235"/>
      <c r="D1" s="235"/>
      <c r="E1" s="235"/>
      <c r="F1" s="235"/>
      <c r="G1" s="235"/>
      <c r="H1" s="235"/>
    </row>
    <row r="3" spans="2:10" ht="30" x14ac:dyDescent="0.25">
      <c r="B3" s="30" t="s">
        <v>267</v>
      </c>
      <c r="C3" s="30" t="s">
        <v>268</v>
      </c>
      <c r="D3" s="71" t="s">
        <v>269</v>
      </c>
      <c r="E3" s="71" t="s">
        <v>270</v>
      </c>
      <c r="F3" s="71" t="s">
        <v>86</v>
      </c>
      <c r="G3" s="71" t="s">
        <v>271</v>
      </c>
      <c r="H3" s="63" t="s">
        <v>87</v>
      </c>
      <c r="J3" s="21" t="s">
        <v>656</v>
      </c>
    </row>
    <row r="4" spans="2:10" x14ac:dyDescent="0.25">
      <c r="B4" s="93" t="s">
        <v>272</v>
      </c>
      <c r="C4" s="93" t="s">
        <v>273</v>
      </c>
      <c r="D4" s="140">
        <v>260</v>
      </c>
      <c r="E4" s="141" t="s">
        <v>274</v>
      </c>
      <c r="F4" s="141" t="s">
        <v>275</v>
      </c>
      <c r="G4" s="141">
        <v>80</v>
      </c>
      <c r="H4" s="53">
        <f t="shared" ref="H4:H31" si="0">IFERROR(D4/G4,"")</f>
        <v>3.25</v>
      </c>
      <c r="J4" t="s">
        <v>657</v>
      </c>
    </row>
    <row r="5" spans="2:10" x14ac:dyDescent="0.25">
      <c r="B5" s="93" t="s">
        <v>276</v>
      </c>
      <c r="C5" s="93" t="s">
        <v>273</v>
      </c>
      <c r="D5" s="140">
        <v>265</v>
      </c>
      <c r="E5" s="141" t="s">
        <v>274</v>
      </c>
      <c r="F5" s="141" t="s">
        <v>275</v>
      </c>
      <c r="G5" s="141">
        <v>80</v>
      </c>
      <c r="H5" s="53">
        <f t="shared" si="0"/>
        <v>3.3125</v>
      </c>
      <c r="J5" t="s">
        <v>657</v>
      </c>
    </row>
    <row r="6" spans="2:10" x14ac:dyDescent="0.25">
      <c r="B6" s="93" t="s">
        <v>277</v>
      </c>
      <c r="C6" s="93" t="s">
        <v>273</v>
      </c>
      <c r="D6" s="140">
        <v>275</v>
      </c>
      <c r="E6" s="141" t="s">
        <v>274</v>
      </c>
      <c r="F6" s="141" t="s">
        <v>275</v>
      </c>
      <c r="G6" s="141">
        <v>80</v>
      </c>
      <c r="H6" s="53">
        <f t="shared" si="0"/>
        <v>3.4375</v>
      </c>
      <c r="J6" t="s">
        <v>657</v>
      </c>
    </row>
    <row r="7" spans="2:10" x14ac:dyDescent="0.25">
      <c r="B7" s="93" t="s">
        <v>278</v>
      </c>
      <c r="C7" s="93" t="s">
        <v>273</v>
      </c>
      <c r="D7" s="140">
        <v>185</v>
      </c>
      <c r="E7" s="141" t="s">
        <v>274</v>
      </c>
      <c r="F7" s="141" t="s">
        <v>275</v>
      </c>
      <c r="G7" s="141">
        <v>80</v>
      </c>
      <c r="H7" s="53">
        <f t="shared" si="0"/>
        <v>2.3125</v>
      </c>
      <c r="J7" t="s">
        <v>657</v>
      </c>
    </row>
    <row r="8" spans="2:10" x14ac:dyDescent="0.25">
      <c r="B8" s="93" t="s">
        <v>279</v>
      </c>
      <c r="C8" s="93" t="s">
        <v>273</v>
      </c>
      <c r="D8" s="140">
        <v>275</v>
      </c>
      <c r="E8" s="141" t="s">
        <v>274</v>
      </c>
      <c r="F8" s="141" t="s">
        <v>275</v>
      </c>
      <c r="G8" s="141">
        <v>80</v>
      </c>
      <c r="H8" s="53">
        <f t="shared" si="0"/>
        <v>3.4375</v>
      </c>
      <c r="J8" t="s">
        <v>657</v>
      </c>
    </row>
    <row r="9" spans="2:10" x14ac:dyDescent="0.25">
      <c r="B9" s="93" t="s">
        <v>280</v>
      </c>
      <c r="C9" s="93" t="s">
        <v>281</v>
      </c>
      <c r="D9" s="140">
        <v>265</v>
      </c>
      <c r="E9" s="141" t="s">
        <v>274</v>
      </c>
      <c r="F9" s="141" t="s">
        <v>275</v>
      </c>
      <c r="G9" s="141">
        <v>80</v>
      </c>
      <c r="H9" s="53">
        <f t="shared" si="0"/>
        <v>3.3125</v>
      </c>
      <c r="J9" t="s">
        <v>657</v>
      </c>
    </row>
    <row r="10" spans="2:10" x14ac:dyDescent="0.25">
      <c r="B10" s="93" t="s">
        <v>282</v>
      </c>
      <c r="C10" s="93" t="s">
        <v>281</v>
      </c>
      <c r="D10" s="140">
        <v>295</v>
      </c>
      <c r="E10" s="141" t="s">
        <v>274</v>
      </c>
      <c r="F10" s="141" t="s">
        <v>275</v>
      </c>
      <c r="G10" s="141">
        <v>80</v>
      </c>
      <c r="H10" s="53">
        <f t="shared" si="0"/>
        <v>3.6875</v>
      </c>
      <c r="J10" t="s">
        <v>657</v>
      </c>
    </row>
    <row r="11" spans="2:10" x14ac:dyDescent="0.25">
      <c r="B11" s="93" t="s">
        <v>283</v>
      </c>
      <c r="C11" s="93" t="s">
        <v>281</v>
      </c>
      <c r="D11" s="140">
        <v>185</v>
      </c>
      <c r="E11" s="141" t="s">
        <v>274</v>
      </c>
      <c r="F11" s="141" t="s">
        <v>275</v>
      </c>
      <c r="G11" s="141">
        <v>80</v>
      </c>
      <c r="H11" s="53">
        <f t="shared" si="0"/>
        <v>2.3125</v>
      </c>
      <c r="J11" t="s">
        <v>657</v>
      </c>
    </row>
    <row r="12" spans="2:10" x14ac:dyDescent="0.25">
      <c r="B12" s="93" t="s">
        <v>284</v>
      </c>
      <c r="C12" s="93" t="s">
        <v>281</v>
      </c>
      <c r="D12" s="140">
        <v>265</v>
      </c>
      <c r="E12" s="141" t="s">
        <v>274</v>
      </c>
      <c r="F12" s="141" t="s">
        <v>275</v>
      </c>
      <c r="G12" s="141">
        <v>80</v>
      </c>
      <c r="H12" s="53">
        <f t="shared" si="0"/>
        <v>3.3125</v>
      </c>
      <c r="J12" t="s">
        <v>657</v>
      </c>
    </row>
    <row r="13" spans="2:10" x14ac:dyDescent="0.25">
      <c r="B13" s="93" t="s">
        <v>285</v>
      </c>
      <c r="C13" s="93" t="s">
        <v>273</v>
      </c>
      <c r="D13" s="140">
        <v>315</v>
      </c>
      <c r="E13" s="141" t="s">
        <v>274</v>
      </c>
      <c r="F13" s="141" t="s">
        <v>275</v>
      </c>
      <c r="G13" s="141">
        <v>80</v>
      </c>
      <c r="H13" s="53">
        <f t="shared" si="0"/>
        <v>3.9375</v>
      </c>
      <c r="J13" t="s">
        <v>657</v>
      </c>
    </row>
    <row r="14" spans="2:10" x14ac:dyDescent="0.25">
      <c r="B14" s="93" t="s">
        <v>286</v>
      </c>
      <c r="C14" s="93" t="s">
        <v>273</v>
      </c>
      <c r="D14" s="140">
        <v>305</v>
      </c>
      <c r="E14" s="141" t="s">
        <v>274</v>
      </c>
      <c r="F14" s="141" t="s">
        <v>275</v>
      </c>
      <c r="G14" s="141">
        <v>80</v>
      </c>
      <c r="H14" s="53">
        <f t="shared" si="0"/>
        <v>3.8125</v>
      </c>
      <c r="J14" t="s">
        <v>657</v>
      </c>
    </row>
    <row r="15" spans="2:10" x14ac:dyDescent="0.25">
      <c r="B15" s="93" t="s">
        <v>287</v>
      </c>
      <c r="C15" s="93" t="s">
        <v>273</v>
      </c>
      <c r="D15" s="140">
        <v>260</v>
      </c>
      <c r="E15" s="141" t="s">
        <v>274</v>
      </c>
      <c r="F15" s="141" t="s">
        <v>275</v>
      </c>
      <c r="G15" s="141">
        <v>80</v>
      </c>
      <c r="H15" s="53">
        <f t="shared" si="0"/>
        <v>3.25</v>
      </c>
      <c r="J15" t="s">
        <v>657</v>
      </c>
    </row>
    <row r="16" spans="2:10" x14ac:dyDescent="0.25">
      <c r="B16" s="93" t="s">
        <v>288</v>
      </c>
      <c r="C16" s="93" t="s">
        <v>273</v>
      </c>
      <c r="D16" s="140">
        <v>295</v>
      </c>
      <c r="E16" s="141" t="s">
        <v>274</v>
      </c>
      <c r="F16" s="141" t="s">
        <v>275</v>
      </c>
      <c r="G16" s="141">
        <v>80</v>
      </c>
      <c r="H16" s="53">
        <f t="shared" si="0"/>
        <v>3.6875</v>
      </c>
      <c r="J16" t="s">
        <v>657</v>
      </c>
    </row>
    <row r="17" spans="2:10" x14ac:dyDescent="0.25">
      <c r="B17" s="93" t="s">
        <v>289</v>
      </c>
      <c r="C17" s="93" t="s">
        <v>273</v>
      </c>
      <c r="D17" s="140">
        <v>295</v>
      </c>
      <c r="E17" s="141" t="s">
        <v>274</v>
      </c>
      <c r="F17" s="141" t="s">
        <v>275</v>
      </c>
      <c r="G17" s="141">
        <v>80</v>
      </c>
      <c r="H17" s="53">
        <f t="shared" si="0"/>
        <v>3.6875</v>
      </c>
      <c r="J17" t="s">
        <v>657</v>
      </c>
    </row>
    <row r="18" spans="2:10" x14ac:dyDescent="0.25">
      <c r="B18" s="93" t="s">
        <v>290</v>
      </c>
      <c r="C18" s="93" t="s">
        <v>273</v>
      </c>
      <c r="D18" s="140">
        <v>260</v>
      </c>
      <c r="E18" s="141" t="s">
        <v>274</v>
      </c>
      <c r="F18" s="141" t="s">
        <v>275</v>
      </c>
      <c r="G18" s="141">
        <v>80</v>
      </c>
      <c r="H18" s="53">
        <f t="shared" si="0"/>
        <v>3.25</v>
      </c>
      <c r="J18" t="s">
        <v>657</v>
      </c>
    </row>
    <row r="19" spans="2:10" x14ac:dyDescent="0.25">
      <c r="B19" s="93" t="s">
        <v>291</v>
      </c>
      <c r="C19" s="93"/>
      <c r="D19" s="140">
        <v>370</v>
      </c>
      <c r="E19" s="141" t="s">
        <v>274</v>
      </c>
      <c r="F19" s="141" t="s">
        <v>275</v>
      </c>
      <c r="G19" s="141">
        <v>80</v>
      </c>
      <c r="H19" s="53">
        <f t="shared" si="0"/>
        <v>4.625</v>
      </c>
      <c r="J19" t="s">
        <v>657</v>
      </c>
    </row>
    <row r="20" spans="2:10" x14ac:dyDescent="0.25">
      <c r="B20" s="93" t="s">
        <v>292</v>
      </c>
      <c r="C20" s="93"/>
      <c r="D20" s="140">
        <v>360</v>
      </c>
      <c r="E20" s="141" t="s">
        <v>274</v>
      </c>
      <c r="F20" s="141" t="s">
        <v>275</v>
      </c>
      <c r="G20" s="141">
        <v>80</v>
      </c>
      <c r="H20" s="53">
        <f t="shared" si="0"/>
        <v>4.5</v>
      </c>
      <c r="J20" t="s">
        <v>657</v>
      </c>
    </row>
    <row r="21" spans="2:10" x14ac:dyDescent="0.25">
      <c r="B21" s="93" t="s">
        <v>293</v>
      </c>
      <c r="C21" s="93"/>
      <c r="D21" s="140">
        <v>415</v>
      </c>
      <c r="E21" s="141" t="s">
        <v>274</v>
      </c>
      <c r="F21" s="141" t="s">
        <v>275</v>
      </c>
      <c r="G21" s="141">
        <v>80</v>
      </c>
      <c r="H21" s="53">
        <f t="shared" si="0"/>
        <v>5.1875</v>
      </c>
      <c r="J21" t="s">
        <v>657</v>
      </c>
    </row>
    <row r="22" spans="2:10" x14ac:dyDescent="0.25">
      <c r="B22" s="93" t="s">
        <v>294</v>
      </c>
      <c r="C22" s="93"/>
      <c r="D22" s="140">
        <v>400</v>
      </c>
      <c r="E22" s="141" t="s">
        <v>274</v>
      </c>
      <c r="F22" s="141" t="s">
        <v>275</v>
      </c>
      <c r="G22" s="141">
        <v>80</v>
      </c>
      <c r="H22" s="53">
        <f t="shared" si="0"/>
        <v>5</v>
      </c>
      <c r="J22" t="s">
        <v>657</v>
      </c>
    </row>
    <row r="23" spans="2:10" x14ac:dyDescent="0.25">
      <c r="B23" s="93" t="s">
        <v>295</v>
      </c>
      <c r="C23" s="93"/>
      <c r="D23" s="140">
        <v>405</v>
      </c>
      <c r="E23" s="141" t="s">
        <v>274</v>
      </c>
      <c r="F23" s="141" t="s">
        <v>275</v>
      </c>
      <c r="G23" s="141">
        <v>80</v>
      </c>
      <c r="H23" s="53">
        <f t="shared" si="0"/>
        <v>5.0625</v>
      </c>
      <c r="J23" t="s">
        <v>657</v>
      </c>
    </row>
    <row r="24" spans="2:10" x14ac:dyDescent="0.25">
      <c r="B24" s="93" t="s">
        <v>296</v>
      </c>
      <c r="C24" s="93"/>
      <c r="D24" s="140">
        <v>390</v>
      </c>
      <c r="E24" s="141" t="s">
        <v>274</v>
      </c>
      <c r="F24" s="141" t="s">
        <v>275</v>
      </c>
      <c r="G24" s="141">
        <v>80</v>
      </c>
      <c r="H24" s="53">
        <f t="shared" si="0"/>
        <v>4.875</v>
      </c>
      <c r="J24" t="s">
        <v>657</v>
      </c>
    </row>
    <row r="25" spans="2:10" x14ac:dyDescent="0.25">
      <c r="B25" s="93" t="s">
        <v>297</v>
      </c>
      <c r="C25" s="93"/>
      <c r="D25" s="140">
        <v>390</v>
      </c>
      <c r="E25" s="141" t="s">
        <v>274</v>
      </c>
      <c r="F25" s="141" t="s">
        <v>275</v>
      </c>
      <c r="G25" s="141">
        <v>80</v>
      </c>
      <c r="H25" s="53">
        <f t="shared" si="0"/>
        <v>4.875</v>
      </c>
      <c r="J25" t="s">
        <v>657</v>
      </c>
    </row>
    <row r="26" spans="2:10" x14ac:dyDescent="0.25">
      <c r="B26" s="93" t="s">
        <v>298</v>
      </c>
      <c r="C26" s="93"/>
      <c r="D26" s="140">
        <v>405</v>
      </c>
      <c r="E26" s="141" t="s">
        <v>274</v>
      </c>
      <c r="F26" s="141" t="s">
        <v>275</v>
      </c>
      <c r="G26" s="141">
        <v>80</v>
      </c>
      <c r="H26" s="53">
        <f t="shared" si="0"/>
        <v>5.0625</v>
      </c>
      <c r="J26" t="s">
        <v>657</v>
      </c>
    </row>
    <row r="27" spans="2:10" x14ac:dyDescent="0.25">
      <c r="B27" s="93" t="s">
        <v>299</v>
      </c>
      <c r="C27" s="93"/>
      <c r="D27" s="140">
        <v>390</v>
      </c>
      <c r="E27" s="141" t="s">
        <v>274</v>
      </c>
      <c r="F27" s="141" t="s">
        <v>275</v>
      </c>
      <c r="G27" s="141">
        <v>80</v>
      </c>
      <c r="H27" s="53">
        <f t="shared" si="0"/>
        <v>4.875</v>
      </c>
      <c r="J27" t="s">
        <v>657</v>
      </c>
    </row>
    <row r="28" spans="2:10" x14ac:dyDescent="0.25">
      <c r="B28" s="93" t="s">
        <v>89</v>
      </c>
      <c r="C28" s="93"/>
      <c r="D28" s="140">
        <v>370</v>
      </c>
      <c r="E28" s="141" t="s">
        <v>274</v>
      </c>
      <c r="F28" s="141" t="s">
        <v>275</v>
      </c>
      <c r="G28" s="141">
        <v>80</v>
      </c>
      <c r="H28" s="53">
        <f t="shared" si="0"/>
        <v>4.625</v>
      </c>
      <c r="J28" t="s">
        <v>657</v>
      </c>
    </row>
    <row r="29" spans="2:10" x14ac:dyDescent="0.25">
      <c r="B29" s="93" t="s">
        <v>300</v>
      </c>
      <c r="C29" s="93"/>
      <c r="D29" s="140">
        <v>350</v>
      </c>
      <c r="E29" s="141" t="s">
        <v>274</v>
      </c>
      <c r="F29" s="141" t="s">
        <v>275</v>
      </c>
      <c r="G29" s="141">
        <v>80</v>
      </c>
      <c r="H29" s="53">
        <f t="shared" si="0"/>
        <v>4.375</v>
      </c>
      <c r="J29" t="s">
        <v>657</v>
      </c>
    </row>
    <row r="30" spans="2:10" x14ac:dyDescent="0.25">
      <c r="B30" s="93" t="s">
        <v>301</v>
      </c>
      <c r="C30" s="93"/>
      <c r="D30" s="140">
        <v>360</v>
      </c>
      <c r="E30" s="141" t="s">
        <v>274</v>
      </c>
      <c r="F30" s="141" t="s">
        <v>275</v>
      </c>
      <c r="G30" s="141">
        <v>80</v>
      </c>
      <c r="H30" s="53">
        <f t="shared" si="0"/>
        <v>4.5</v>
      </c>
      <c r="J30" t="s">
        <v>657</v>
      </c>
    </row>
    <row r="31" spans="2:10" x14ac:dyDescent="0.25">
      <c r="B31" s="139"/>
      <c r="C31" s="139"/>
      <c r="D31" s="142"/>
      <c r="E31" s="143"/>
      <c r="F31" s="143"/>
      <c r="G31" s="143"/>
      <c r="H31" s="69" t="str">
        <f t="shared" si="0"/>
        <v/>
      </c>
      <c r="J31"/>
    </row>
    <row r="32" spans="2:10" x14ac:dyDescent="0.25">
      <c r="D32" s="45"/>
      <c r="E32" s="45"/>
      <c r="F32" s="45"/>
      <c r="G32" s="45"/>
    </row>
    <row r="33" spans="2:10" ht="30" x14ac:dyDescent="0.25">
      <c r="B33" s="30" t="s">
        <v>90</v>
      </c>
      <c r="C33" s="30" t="s">
        <v>85</v>
      </c>
      <c r="D33" s="71" t="s">
        <v>269</v>
      </c>
      <c r="E33" s="71" t="s">
        <v>270</v>
      </c>
      <c r="F33" s="71" t="s">
        <v>86</v>
      </c>
      <c r="G33" s="71" t="s">
        <v>271</v>
      </c>
      <c r="H33" s="63" t="s">
        <v>87</v>
      </c>
      <c r="J33" s="21" t="s">
        <v>656</v>
      </c>
    </row>
    <row r="34" spans="2:10" x14ac:dyDescent="0.25">
      <c r="B34" s="93" t="s">
        <v>302</v>
      </c>
      <c r="C34" s="93" t="s">
        <v>303</v>
      </c>
      <c r="D34" s="140">
        <v>430</v>
      </c>
      <c r="E34" s="141" t="s">
        <v>254</v>
      </c>
      <c r="F34" s="141" t="s">
        <v>304</v>
      </c>
      <c r="G34" s="141">
        <v>2000</v>
      </c>
      <c r="H34" s="53">
        <f>IFERROR(D34/G34,"")</f>
        <v>0.215</v>
      </c>
      <c r="J34" t="s">
        <v>657</v>
      </c>
    </row>
    <row r="35" spans="2:10" x14ac:dyDescent="0.25">
      <c r="B35" s="93" t="s">
        <v>305</v>
      </c>
      <c r="C35" s="93" t="s">
        <v>303</v>
      </c>
      <c r="D35" s="140">
        <v>555</v>
      </c>
      <c r="E35" s="141" t="s">
        <v>254</v>
      </c>
      <c r="F35" s="141" t="s">
        <v>304</v>
      </c>
      <c r="G35" s="141">
        <v>2000</v>
      </c>
      <c r="H35" s="53">
        <f t="shared" ref="H35:H73" si="1">IFERROR(D35/G35,"")</f>
        <v>0.27750000000000002</v>
      </c>
      <c r="J35" t="s">
        <v>658</v>
      </c>
    </row>
    <row r="36" spans="2:10" x14ac:dyDescent="0.25">
      <c r="B36" s="93" t="s">
        <v>306</v>
      </c>
      <c r="C36" s="93" t="s">
        <v>307</v>
      </c>
      <c r="D36" s="140">
        <v>12</v>
      </c>
      <c r="E36" s="141" t="s">
        <v>308</v>
      </c>
      <c r="F36" s="141" t="s">
        <v>308</v>
      </c>
      <c r="G36" s="141">
        <v>1</v>
      </c>
      <c r="H36" s="53">
        <f t="shared" si="1"/>
        <v>12</v>
      </c>
      <c r="J36" t="s">
        <v>657</v>
      </c>
    </row>
    <row r="37" spans="2:10" x14ac:dyDescent="0.25">
      <c r="B37" s="93" t="s">
        <v>97</v>
      </c>
      <c r="C37" s="93" t="s">
        <v>303</v>
      </c>
      <c r="D37" s="140">
        <v>910</v>
      </c>
      <c r="E37" s="141" t="s">
        <v>254</v>
      </c>
      <c r="F37" s="141" t="s">
        <v>304</v>
      </c>
      <c r="G37" s="141">
        <v>2000</v>
      </c>
      <c r="H37" s="53">
        <f t="shared" si="1"/>
        <v>0.45500000000000002</v>
      </c>
      <c r="J37" t="s">
        <v>658</v>
      </c>
    </row>
    <row r="38" spans="2:10" x14ac:dyDescent="0.25">
      <c r="B38" s="93" t="s">
        <v>309</v>
      </c>
      <c r="C38" s="93" t="s">
        <v>307</v>
      </c>
      <c r="D38" s="140">
        <v>14.44</v>
      </c>
      <c r="E38" s="141" t="s">
        <v>310</v>
      </c>
      <c r="F38" s="141" t="s">
        <v>311</v>
      </c>
      <c r="G38" s="141">
        <v>8</v>
      </c>
      <c r="H38" s="53">
        <f t="shared" si="1"/>
        <v>1.8049999999999999</v>
      </c>
      <c r="J38" t="s">
        <v>658</v>
      </c>
    </row>
    <row r="39" spans="2:10" x14ac:dyDescent="0.25">
      <c r="B39" s="93" t="s">
        <v>312</v>
      </c>
      <c r="C39" s="93" t="s">
        <v>307</v>
      </c>
      <c r="D39" s="140">
        <v>8</v>
      </c>
      <c r="E39" s="141" t="s">
        <v>308</v>
      </c>
      <c r="F39" s="141" t="s">
        <v>311</v>
      </c>
      <c r="G39" s="141">
        <v>2</v>
      </c>
      <c r="H39" s="53">
        <f t="shared" si="1"/>
        <v>4</v>
      </c>
      <c r="J39" t="s">
        <v>657</v>
      </c>
    </row>
    <row r="40" spans="2:10" x14ac:dyDescent="0.25">
      <c r="B40" s="93" t="s">
        <v>92</v>
      </c>
      <c r="C40" s="93" t="s">
        <v>313</v>
      </c>
      <c r="D40" s="140">
        <v>44</v>
      </c>
      <c r="E40" s="141" t="s">
        <v>254</v>
      </c>
      <c r="F40" s="141" t="s">
        <v>254</v>
      </c>
      <c r="G40" s="141">
        <v>1</v>
      </c>
      <c r="H40" s="53">
        <f>IFERROR(D40/G40,"")</f>
        <v>44</v>
      </c>
      <c r="J40" t="s">
        <v>657</v>
      </c>
    </row>
    <row r="41" spans="2:10" x14ac:dyDescent="0.25">
      <c r="B41" s="93" t="s">
        <v>314</v>
      </c>
      <c r="C41" s="93" t="s">
        <v>315</v>
      </c>
      <c r="D41" s="140">
        <v>312</v>
      </c>
      <c r="E41" s="141" t="s">
        <v>254</v>
      </c>
      <c r="F41" s="141" t="s">
        <v>254</v>
      </c>
      <c r="G41" s="141">
        <v>1</v>
      </c>
      <c r="H41" s="53">
        <f>IFERROR(D41/G41,"")</f>
        <v>312</v>
      </c>
      <c r="J41" t="s">
        <v>657</v>
      </c>
    </row>
    <row r="42" spans="2:10" x14ac:dyDescent="0.25">
      <c r="B42" s="93" t="s">
        <v>316</v>
      </c>
      <c r="C42" s="93" t="s">
        <v>317</v>
      </c>
      <c r="D42" s="140">
        <v>66.75</v>
      </c>
      <c r="E42" s="141" t="s">
        <v>254</v>
      </c>
      <c r="F42" s="141" t="s">
        <v>304</v>
      </c>
      <c r="G42" s="141">
        <v>2000</v>
      </c>
      <c r="H42" s="53">
        <f t="shared" si="1"/>
        <v>3.3375000000000002E-2</v>
      </c>
      <c r="J42" t="s">
        <v>657</v>
      </c>
    </row>
    <row r="43" spans="2:10" x14ac:dyDescent="0.25">
      <c r="B43" s="93" t="s">
        <v>318</v>
      </c>
      <c r="C43" s="93" t="s">
        <v>319</v>
      </c>
      <c r="D43" s="140">
        <v>1275</v>
      </c>
      <c r="E43" s="141" t="s">
        <v>254</v>
      </c>
      <c r="F43" s="141" t="s">
        <v>304</v>
      </c>
      <c r="G43" s="141">
        <v>2000</v>
      </c>
      <c r="H43" s="53">
        <f t="shared" si="1"/>
        <v>0.63749999999999996</v>
      </c>
      <c r="J43" t="s">
        <v>657</v>
      </c>
    </row>
    <row r="44" spans="2:10" x14ac:dyDescent="0.25">
      <c r="B44" s="93" t="s">
        <v>320</v>
      </c>
      <c r="C44" s="93" t="s">
        <v>319</v>
      </c>
      <c r="D44" s="140">
        <v>925</v>
      </c>
      <c r="E44" s="141" t="s">
        <v>254</v>
      </c>
      <c r="F44" s="141" t="s">
        <v>304</v>
      </c>
      <c r="G44" s="141">
        <v>2000</v>
      </c>
      <c r="H44" s="53">
        <f t="shared" si="1"/>
        <v>0.46250000000000002</v>
      </c>
      <c r="J44" t="s">
        <v>657</v>
      </c>
    </row>
    <row r="45" spans="2:10" x14ac:dyDescent="0.25">
      <c r="B45" s="93" t="s">
        <v>321</v>
      </c>
      <c r="C45" s="93" t="s">
        <v>303</v>
      </c>
      <c r="D45" s="140">
        <v>715</v>
      </c>
      <c r="E45" s="141" t="s">
        <v>254</v>
      </c>
      <c r="F45" s="141" t="s">
        <v>304</v>
      </c>
      <c r="G45" s="141">
        <v>2000</v>
      </c>
      <c r="H45" s="53">
        <f t="shared" si="1"/>
        <v>0.35749999999999998</v>
      </c>
      <c r="J45" t="s">
        <v>657</v>
      </c>
    </row>
    <row r="46" spans="2:10" x14ac:dyDescent="0.25">
      <c r="B46" s="93" t="s">
        <v>91</v>
      </c>
      <c r="C46" s="93" t="s">
        <v>322</v>
      </c>
      <c r="D46" s="140">
        <v>30.5</v>
      </c>
      <c r="E46" s="141" t="s">
        <v>254</v>
      </c>
      <c r="F46" s="141" t="s">
        <v>254</v>
      </c>
      <c r="G46" s="141">
        <v>1</v>
      </c>
      <c r="H46" s="53">
        <f t="shared" si="1"/>
        <v>30.5</v>
      </c>
      <c r="J46" t="s">
        <v>658</v>
      </c>
    </row>
    <row r="47" spans="2:10" x14ac:dyDescent="0.25">
      <c r="B47" s="93" t="s">
        <v>323</v>
      </c>
      <c r="C47" s="93" t="s">
        <v>303</v>
      </c>
      <c r="D47" s="140">
        <v>422</v>
      </c>
      <c r="E47" s="141" t="s">
        <v>254</v>
      </c>
      <c r="F47" s="141" t="s">
        <v>304</v>
      </c>
      <c r="G47" s="141">
        <v>2000</v>
      </c>
      <c r="H47" s="53">
        <f t="shared" si="1"/>
        <v>0.21099999999999999</v>
      </c>
      <c r="J47" t="s">
        <v>657</v>
      </c>
    </row>
    <row r="48" spans="2:10" x14ac:dyDescent="0.25">
      <c r="B48" s="93" t="s">
        <v>324</v>
      </c>
      <c r="C48" s="93" t="s">
        <v>303</v>
      </c>
      <c r="D48" s="140">
        <v>534</v>
      </c>
      <c r="E48" s="141" t="s">
        <v>254</v>
      </c>
      <c r="F48" s="141" t="s">
        <v>304</v>
      </c>
      <c r="G48" s="141">
        <v>2000</v>
      </c>
      <c r="H48" s="53">
        <f t="shared" si="1"/>
        <v>0.26700000000000002</v>
      </c>
      <c r="J48" t="s">
        <v>657</v>
      </c>
    </row>
    <row r="49" spans="2:10" x14ac:dyDescent="0.25">
      <c r="B49" s="93" t="s">
        <v>325</v>
      </c>
      <c r="C49" s="93" t="s">
        <v>303</v>
      </c>
      <c r="D49" s="140">
        <v>435</v>
      </c>
      <c r="E49" s="141" t="s">
        <v>254</v>
      </c>
      <c r="F49" s="141" t="s">
        <v>304</v>
      </c>
      <c r="G49" s="141">
        <v>2000</v>
      </c>
      <c r="H49" s="53">
        <f t="shared" si="1"/>
        <v>0.2175</v>
      </c>
      <c r="J49" t="s">
        <v>657</v>
      </c>
    </row>
    <row r="50" spans="2:10" x14ac:dyDescent="0.25">
      <c r="B50" s="93" t="s">
        <v>326</v>
      </c>
      <c r="C50" s="93" t="s">
        <v>303</v>
      </c>
      <c r="D50" s="140">
        <v>540</v>
      </c>
      <c r="E50" s="141" t="s">
        <v>254</v>
      </c>
      <c r="F50" s="141" t="s">
        <v>304</v>
      </c>
      <c r="G50" s="141">
        <v>2000</v>
      </c>
      <c r="H50" s="53">
        <f t="shared" si="1"/>
        <v>0.27</v>
      </c>
      <c r="J50" t="s">
        <v>657</v>
      </c>
    </row>
    <row r="51" spans="2:10" x14ac:dyDescent="0.25">
      <c r="B51" s="93" t="s">
        <v>327</v>
      </c>
      <c r="C51" s="93" t="s">
        <v>303</v>
      </c>
      <c r="D51" s="140">
        <v>597.5</v>
      </c>
      <c r="E51" s="141" t="s">
        <v>254</v>
      </c>
      <c r="F51" s="141" t="s">
        <v>304</v>
      </c>
      <c r="G51" s="141">
        <v>2000</v>
      </c>
      <c r="H51" s="53">
        <f t="shared" si="1"/>
        <v>0.29875000000000002</v>
      </c>
      <c r="J51" t="s">
        <v>658</v>
      </c>
    </row>
    <row r="52" spans="2:10" x14ac:dyDescent="0.25">
      <c r="B52" s="93" t="s">
        <v>328</v>
      </c>
      <c r="C52" s="93" t="s">
        <v>303</v>
      </c>
      <c r="D52" s="140">
        <v>479</v>
      </c>
      <c r="E52" s="141" t="s">
        <v>254</v>
      </c>
      <c r="F52" s="141" t="s">
        <v>304</v>
      </c>
      <c r="G52" s="141">
        <v>2000</v>
      </c>
      <c r="H52" s="53">
        <f t="shared" si="1"/>
        <v>0.23949999999999999</v>
      </c>
      <c r="J52" t="s">
        <v>657</v>
      </c>
    </row>
    <row r="53" spans="2:10" x14ac:dyDescent="0.25">
      <c r="B53" s="93" t="s">
        <v>329</v>
      </c>
      <c r="C53" s="93" t="s">
        <v>303</v>
      </c>
      <c r="D53" s="140">
        <v>59</v>
      </c>
      <c r="E53" s="141" t="s">
        <v>254</v>
      </c>
      <c r="F53" s="141" t="s">
        <v>254</v>
      </c>
      <c r="G53" s="141">
        <v>1</v>
      </c>
      <c r="H53" s="53">
        <f t="shared" si="1"/>
        <v>59</v>
      </c>
      <c r="J53" t="s">
        <v>657</v>
      </c>
    </row>
    <row r="54" spans="2:10" x14ac:dyDescent="0.25">
      <c r="B54" s="93" t="s">
        <v>330</v>
      </c>
      <c r="C54" s="93" t="s">
        <v>303</v>
      </c>
      <c r="D54" s="140">
        <v>65</v>
      </c>
      <c r="E54" s="141" t="s">
        <v>254</v>
      </c>
      <c r="F54" s="141" t="s">
        <v>254</v>
      </c>
      <c r="G54" s="141">
        <v>1</v>
      </c>
      <c r="H54" s="53">
        <f t="shared" si="1"/>
        <v>65</v>
      </c>
      <c r="J54" t="s">
        <v>658</v>
      </c>
    </row>
    <row r="55" spans="2:10" x14ac:dyDescent="0.25">
      <c r="B55" s="93" t="s">
        <v>94</v>
      </c>
      <c r="C55" s="93" t="s">
        <v>303</v>
      </c>
      <c r="D55" s="140">
        <v>577.5</v>
      </c>
      <c r="E55" s="141" t="s">
        <v>254</v>
      </c>
      <c r="F55" s="141" t="s">
        <v>304</v>
      </c>
      <c r="G55" s="141">
        <v>2000</v>
      </c>
      <c r="H55" s="53">
        <f t="shared" si="1"/>
        <v>0.28875000000000001</v>
      </c>
      <c r="J55" t="s">
        <v>658</v>
      </c>
    </row>
    <row r="56" spans="2:10" x14ac:dyDescent="0.25">
      <c r="B56" s="93" t="s">
        <v>331</v>
      </c>
      <c r="C56" s="93" t="s">
        <v>307</v>
      </c>
      <c r="D56" s="140">
        <v>340</v>
      </c>
      <c r="E56" s="141" t="s">
        <v>254</v>
      </c>
      <c r="F56" s="141" t="s">
        <v>332</v>
      </c>
      <c r="G56" s="141">
        <v>192</v>
      </c>
      <c r="H56" s="53">
        <f t="shared" si="1"/>
        <v>1.7708333333333333</v>
      </c>
      <c r="J56" t="s">
        <v>657</v>
      </c>
    </row>
    <row r="57" spans="2:10" x14ac:dyDescent="0.25">
      <c r="B57" s="93" t="s">
        <v>95</v>
      </c>
      <c r="C57" s="93" t="s">
        <v>307</v>
      </c>
      <c r="D57" s="140">
        <v>455</v>
      </c>
      <c r="E57" s="141" t="s">
        <v>254</v>
      </c>
      <c r="F57" s="141" t="s">
        <v>332</v>
      </c>
      <c r="G57" s="141">
        <v>177</v>
      </c>
      <c r="H57" s="53">
        <f t="shared" si="1"/>
        <v>2.5706214689265536</v>
      </c>
      <c r="J57" t="s">
        <v>658</v>
      </c>
    </row>
    <row r="58" spans="2:10" x14ac:dyDescent="0.25">
      <c r="B58" s="93" t="s">
        <v>333</v>
      </c>
      <c r="C58" s="93" t="s">
        <v>307</v>
      </c>
      <c r="D58" s="140">
        <v>533</v>
      </c>
      <c r="E58" s="141" t="s">
        <v>254</v>
      </c>
      <c r="F58" s="141" t="s">
        <v>332</v>
      </c>
      <c r="G58" s="141">
        <v>177</v>
      </c>
      <c r="H58" s="53">
        <f t="shared" si="1"/>
        <v>3.0112994350282487</v>
      </c>
      <c r="J58" t="s">
        <v>657</v>
      </c>
    </row>
    <row r="59" spans="2:10" x14ac:dyDescent="0.25">
      <c r="B59" s="93" t="s">
        <v>334</v>
      </c>
      <c r="C59" s="93" t="s">
        <v>307</v>
      </c>
      <c r="D59" s="140">
        <v>603.33000000000004</v>
      </c>
      <c r="E59" s="141" t="s">
        <v>254</v>
      </c>
      <c r="F59" s="141" t="s">
        <v>332</v>
      </c>
      <c r="G59" s="141">
        <v>172</v>
      </c>
      <c r="H59" s="53">
        <f t="shared" si="1"/>
        <v>3.5077325581395353</v>
      </c>
      <c r="J59" t="s">
        <v>657</v>
      </c>
    </row>
    <row r="60" spans="2:10" x14ac:dyDescent="0.25">
      <c r="B60" s="93" t="s">
        <v>99</v>
      </c>
      <c r="C60" s="93" t="s">
        <v>303</v>
      </c>
      <c r="D60" s="140">
        <v>1282.5</v>
      </c>
      <c r="E60" s="141" t="s">
        <v>254</v>
      </c>
      <c r="F60" s="141" t="s">
        <v>304</v>
      </c>
      <c r="G60" s="141">
        <v>2000</v>
      </c>
      <c r="H60" s="53">
        <f t="shared" si="1"/>
        <v>0.64124999999999999</v>
      </c>
      <c r="J60" t="s">
        <v>658</v>
      </c>
    </row>
    <row r="61" spans="2:10" x14ac:dyDescent="0.25">
      <c r="B61" s="93" t="s">
        <v>335</v>
      </c>
      <c r="C61" s="93" t="s">
        <v>303</v>
      </c>
      <c r="D61" s="140">
        <v>738</v>
      </c>
      <c r="E61" s="141" t="s">
        <v>254</v>
      </c>
      <c r="F61" s="141" t="s">
        <v>304</v>
      </c>
      <c r="G61" s="141">
        <v>2000</v>
      </c>
      <c r="H61" s="53">
        <f t="shared" si="1"/>
        <v>0.36899999999999999</v>
      </c>
      <c r="J61" t="s">
        <v>657</v>
      </c>
    </row>
    <row r="62" spans="2:10" x14ac:dyDescent="0.25">
      <c r="B62" s="93" t="s">
        <v>336</v>
      </c>
      <c r="C62" s="93" t="s">
        <v>303</v>
      </c>
      <c r="D62" s="140">
        <v>505</v>
      </c>
      <c r="E62" s="141" t="s">
        <v>254</v>
      </c>
      <c r="F62" s="141" t="s">
        <v>304</v>
      </c>
      <c r="G62" s="141">
        <v>2000</v>
      </c>
      <c r="H62" s="53">
        <f t="shared" si="1"/>
        <v>0.2525</v>
      </c>
      <c r="J62" t="s">
        <v>657</v>
      </c>
    </row>
    <row r="63" spans="2:10" x14ac:dyDescent="0.25">
      <c r="B63" s="93" t="s">
        <v>93</v>
      </c>
      <c r="C63" s="93" t="s">
        <v>303</v>
      </c>
      <c r="D63" s="140">
        <v>430</v>
      </c>
      <c r="E63" s="141" t="s">
        <v>254</v>
      </c>
      <c r="F63" s="141" t="s">
        <v>304</v>
      </c>
      <c r="G63" s="141">
        <v>2000</v>
      </c>
      <c r="H63" s="53">
        <f t="shared" si="1"/>
        <v>0.215</v>
      </c>
      <c r="J63" t="s">
        <v>658</v>
      </c>
    </row>
    <row r="64" spans="2:10" x14ac:dyDescent="0.25">
      <c r="B64" s="93" t="s">
        <v>337</v>
      </c>
      <c r="C64" s="93" t="s">
        <v>307</v>
      </c>
      <c r="D64" s="140">
        <v>5</v>
      </c>
      <c r="E64" s="141" t="s">
        <v>308</v>
      </c>
      <c r="F64" s="141" t="s">
        <v>308</v>
      </c>
      <c r="G64" s="141">
        <v>1</v>
      </c>
      <c r="H64" s="53">
        <f t="shared" si="1"/>
        <v>5</v>
      </c>
      <c r="J64" t="s">
        <v>657</v>
      </c>
    </row>
    <row r="65" spans="2:10" x14ac:dyDescent="0.25">
      <c r="B65" s="93" t="s">
        <v>338</v>
      </c>
      <c r="C65" s="93" t="s">
        <v>307</v>
      </c>
      <c r="D65" s="140">
        <v>5.5</v>
      </c>
      <c r="E65" s="141" t="s">
        <v>308</v>
      </c>
      <c r="F65" s="141" t="s">
        <v>308</v>
      </c>
      <c r="G65" s="141">
        <v>1</v>
      </c>
      <c r="H65" s="53">
        <f t="shared" si="1"/>
        <v>5.5</v>
      </c>
      <c r="J65" t="s">
        <v>657</v>
      </c>
    </row>
    <row r="66" spans="2:10" x14ac:dyDescent="0.25">
      <c r="B66" s="93" t="s">
        <v>339</v>
      </c>
      <c r="C66" s="93" t="s">
        <v>307</v>
      </c>
      <c r="D66" s="140">
        <v>5.5</v>
      </c>
      <c r="E66" s="141" t="s">
        <v>308</v>
      </c>
      <c r="F66" s="141" t="s">
        <v>308</v>
      </c>
      <c r="G66" s="141">
        <v>1</v>
      </c>
      <c r="H66" s="53">
        <f t="shared" si="1"/>
        <v>5.5</v>
      </c>
      <c r="J66" t="s">
        <v>657</v>
      </c>
    </row>
    <row r="67" spans="2:10" x14ac:dyDescent="0.25">
      <c r="B67" s="93" t="s">
        <v>340</v>
      </c>
      <c r="C67" s="93" t="s">
        <v>307</v>
      </c>
      <c r="D67" s="140">
        <v>11.2</v>
      </c>
      <c r="E67" s="141" t="s">
        <v>332</v>
      </c>
      <c r="F67" s="141" t="s">
        <v>308</v>
      </c>
      <c r="G67" s="141">
        <v>4</v>
      </c>
      <c r="H67" s="53">
        <f t="shared" si="1"/>
        <v>2.8</v>
      </c>
      <c r="J67" t="s">
        <v>657</v>
      </c>
    </row>
    <row r="68" spans="2:10" x14ac:dyDescent="0.25">
      <c r="B68" s="93" t="s">
        <v>341</v>
      </c>
      <c r="C68" s="93" t="s">
        <v>303</v>
      </c>
      <c r="D68" s="140">
        <v>508</v>
      </c>
      <c r="E68" s="141" t="s">
        <v>254</v>
      </c>
      <c r="F68" s="141" t="s">
        <v>304</v>
      </c>
      <c r="G68" s="141">
        <v>2000</v>
      </c>
      <c r="H68" s="53">
        <f t="shared" si="1"/>
        <v>0.254</v>
      </c>
      <c r="J68" t="s">
        <v>657</v>
      </c>
    </row>
    <row r="69" spans="2:10" x14ac:dyDescent="0.25">
      <c r="B69" s="93" t="s">
        <v>342</v>
      </c>
      <c r="C69" s="93" t="s">
        <v>307</v>
      </c>
      <c r="D69" s="140">
        <v>6.5</v>
      </c>
      <c r="E69" s="141" t="s">
        <v>308</v>
      </c>
      <c r="F69" s="141" t="s">
        <v>311</v>
      </c>
      <c r="G69" s="141">
        <v>2</v>
      </c>
      <c r="H69" s="53">
        <f t="shared" si="1"/>
        <v>3.25</v>
      </c>
      <c r="J69" t="s">
        <v>657</v>
      </c>
    </row>
    <row r="70" spans="2:10" x14ac:dyDescent="0.25">
      <c r="B70" s="93" t="s">
        <v>96</v>
      </c>
      <c r="C70" s="93" t="s">
        <v>307</v>
      </c>
      <c r="D70" s="140">
        <v>430</v>
      </c>
      <c r="E70" s="141" t="s">
        <v>254</v>
      </c>
      <c r="F70" s="141" t="s">
        <v>332</v>
      </c>
      <c r="G70" s="141">
        <v>186</v>
      </c>
      <c r="H70" s="53">
        <f t="shared" si="1"/>
        <v>2.3118279569892475</v>
      </c>
      <c r="J70" t="s">
        <v>658</v>
      </c>
    </row>
    <row r="71" spans="2:10" x14ac:dyDescent="0.25">
      <c r="B71" s="93" t="s">
        <v>343</v>
      </c>
      <c r="C71" s="93" t="s">
        <v>303</v>
      </c>
      <c r="D71" s="140">
        <v>665</v>
      </c>
      <c r="E71" s="141" t="s">
        <v>254</v>
      </c>
      <c r="F71" s="141" t="s">
        <v>304</v>
      </c>
      <c r="G71" s="141">
        <v>2000</v>
      </c>
      <c r="H71" s="53">
        <f t="shared" si="1"/>
        <v>0.33250000000000002</v>
      </c>
      <c r="J71" t="s">
        <v>658</v>
      </c>
    </row>
    <row r="72" spans="2:10" x14ac:dyDescent="0.25">
      <c r="B72" s="139" t="s">
        <v>98</v>
      </c>
      <c r="C72" s="139" t="s">
        <v>303</v>
      </c>
      <c r="D72" s="142">
        <v>1762.5</v>
      </c>
      <c r="E72" s="143" t="s">
        <v>254</v>
      </c>
      <c r="F72" s="143" t="s">
        <v>304</v>
      </c>
      <c r="G72" s="143">
        <v>2000</v>
      </c>
      <c r="H72" s="53">
        <f>IFERROR(D72/G72,"")</f>
        <v>0.88124999999999998</v>
      </c>
      <c r="J72" t="s">
        <v>658</v>
      </c>
    </row>
    <row r="73" spans="2:10" x14ac:dyDescent="0.25">
      <c r="B73" s="139"/>
      <c r="C73" s="139"/>
      <c r="D73" s="142"/>
      <c r="E73" s="143"/>
      <c r="F73" s="143"/>
      <c r="G73" s="143"/>
      <c r="H73" s="69" t="str">
        <f t="shared" si="1"/>
        <v/>
      </c>
      <c r="J73"/>
    </row>
    <row r="74" spans="2:10" x14ac:dyDescent="0.25">
      <c r="D74" s="45"/>
      <c r="E74" s="45"/>
      <c r="F74" s="45"/>
      <c r="G74" s="45"/>
    </row>
    <row r="75" spans="2:10" ht="30" x14ac:dyDescent="0.25">
      <c r="B75" s="30" t="s">
        <v>344</v>
      </c>
      <c r="C75" s="30" t="s">
        <v>101</v>
      </c>
      <c r="D75" s="71" t="s">
        <v>269</v>
      </c>
      <c r="E75" s="71" t="s">
        <v>270</v>
      </c>
      <c r="F75" s="71" t="s">
        <v>86</v>
      </c>
      <c r="G75" s="71" t="s">
        <v>271</v>
      </c>
      <c r="H75" s="63" t="s">
        <v>87</v>
      </c>
      <c r="J75" s="21" t="s">
        <v>656</v>
      </c>
    </row>
    <row r="76" spans="2:10" x14ac:dyDescent="0.25">
      <c r="B76" s="93" t="s">
        <v>345</v>
      </c>
      <c r="C76" s="93" t="s">
        <v>346</v>
      </c>
      <c r="D76" s="140">
        <v>65</v>
      </c>
      <c r="E76" s="141" t="s">
        <v>332</v>
      </c>
      <c r="F76" s="141" t="s">
        <v>347</v>
      </c>
      <c r="G76" s="141">
        <v>128</v>
      </c>
      <c r="H76" s="53">
        <f t="shared" ref="H76:H92" si="2">IFERROR(D76/G76,"")</f>
        <v>0.5078125</v>
      </c>
      <c r="J76" t="s">
        <v>657</v>
      </c>
    </row>
    <row r="77" spans="2:10" x14ac:dyDescent="0.25">
      <c r="B77" s="93" t="s">
        <v>348</v>
      </c>
      <c r="C77" s="93" t="s">
        <v>349</v>
      </c>
      <c r="D77" s="140">
        <v>238</v>
      </c>
      <c r="E77" s="141" t="s">
        <v>332</v>
      </c>
      <c r="F77" s="141" t="s">
        <v>347</v>
      </c>
      <c r="G77" s="141">
        <v>128</v>
      </c>
      <c r="H77" s="53">
        <f t="shared" si="2"/>
        <v>1.859375</v>
      </c>
      <c r="J77" t="s">
        <v>657</v>
      </c>
    </row>
    <row r="78" spans="2:10" x14ac:dyDescent="0.25">
      <c r="B78" s="93" t="s">
        <v>350</v>
      </c>
      <c r="C78" s="93" t="s">
        <v>346</v>
      </c>
      <c r="D78" s="140">
        <v>65</v>
      </c>
      <c r="E78" s="141" t="s">
        <v>332</v>
      </c>
      <c r="F78" s="141" t="s">
        <v>347</v>
      </c>
      <c r="G78" s="141">
        <v>128</v>
      </c>
      <c r="H78" s="53">
        <f t="shared" si="2"/>
        <v>0.5078125</v>
      </c>
      <c r="J78" t="s">
        <v>657</v>
      </c>
    </row>
    <row r="79" spans="2:10" x14ac:dyDescent="0.25">
      <c r="B79" s="93" t="s">
        <v>351</v>
      </c>
      <c r="C79" s="93" t="s">
        <v>352</v>
      </c>
      <c r="D79" s="140">
        <v>115</v>
      </c>
      <c r="E79" s="141" t="s">
        <v>332</v>
      </c>
      <c r="F79" s="141" t="s">
        <v>347</v>
      </c>
      <c r="G79" s="141">
        <v>128</v>
      </c>
      <c r="H79" s="53">
        <f t="shared" si="2"/>
        <v>0.8984375</v>
      </c>
      <c r="J79" t="s">
        <v>657</v>
      </c>
    </row>
    <row r="80" spans="2:10" x14ac:dyDescent="0.25">
      <c r="B80" s="93" t="s">
        <v>102</v>
      </c>
      <c r="C80" s="93" t="s">
        <v>353</v>
      </c>
      <c r="D80" s="140">
        <v>145</v>
      </c>
      <c r="E80" s="141" t="s">
        <v>332</v>
      </c>
      <c r="F80" s="141" t="s">
        <v>347</v>
      </c>
      <c r="G80" s="141">
        <v>128</v>
      </c>
      <c r="H80" s="53">
        <f t="shared" si="2"/>
        <v>1.1328125</v>
      </c>
      <c r="J80" t="s">
        <v>658</v>
      </c>
    </row>
    <row r="81" spans="2:10" x14ac:dyDescent="0.25">
      <c r="B81" s="93" t="s">
        <v>354</v>
      </c>
      <c r="C81" s="93" t="s">
        <v>355</v>
      </c>
      <c r="D81" s="140">
        <v>467</v>
      </c>
      <c r="E81" s="141" t="s">
        <v>332</v>
      </c>
      <c r="F81" s="141" t="s">
        <v>347</v>
      </c>
      <c r="G81" s="141">
        <v>128</v>
      </c>
      <c r="H81" s="53">
        <f t="shared" si="2"/>
        <v>3.6484375</v>
      </c>
      <c r="J81" t="s">
        <v>657</v>
      </c>
    </row>
    <row r="82" spans="2:10" x14ac:dyDescent="0.25">
      <c r="B82" s="93" t="s">
        <v>356</v>
      </c>
      <c r="C82" s="93" t="s">
        <v>357</v>
      </c>
      <c r="D82" s="140">
        <v>1.22</v>
      </c>
      <c r="E82" s="141" t="s">
        <v>358</v>
      </c>
      <c r="F82" s="141" t="s">
        <v>304</v>
      </c>
      <c r="G82" s="141">
        <v>1</v>
      </c>
      <c r="H82" s="53">
        <f t="shared" si="2"/>
        <v>1.22</v>
      </c>
      <c r="J82" t="s">
        <v>657</v>
      </c>
    </row>
    <row r="83" spans="2:10" x14ac:dyDescent="0.25">
      <c r="B83" s="93" t="s">
        <v>359</v>
      </c>
      <c r="C83" s="93" t="s">
        <v>360</v>
      </c>
      <c r="D83" s="140">
        <v>11.5</v>
      </c>
      <c r="E83" s="141" t="s">
        <v>332</v>
      </c>
      <c r="F83" s="141" t="s">
        <v>347</v>
      </c>
      <c r="G83" s="141">
        <v>128</v>
      </c>
      <c r="H83" s="53">
        <f t="shared" si="2"/>
        <v>8.984375E-2</v>
      </c>
      <c r="J83" t="s">
        <v>657</v>
      </c>
    </row>
    <row r="84" spans="2:10" x14ac:dyDescent="0.25">
      <c r="B84" s="93" t="s">
        <v>361</v>
      </c>
      <c r="C84" s="93" t="s">
        <v>362</v>
      </c>
      <c r="D84" s="140">
        <v>485</v>
      </c>
      <c r="E84" s="141" t="s">
        <v>332</v>
      </c>
      <c r="F84" s="141" t="s">
        <v>347</v>
      </c>
      <c r="G84" s="141">
        <v>128</v>
      </c>
      <c r="H84" s="53">
        <f t="shared" si="2"/>
        <v>3.7890625</v>
      </c>
      <c r="J84" t="s">
        <v>657</v>
      </c>
    </row>
    <row r="85" spans="2:10" x14ac:dyDescent="0.25">
      <c r="B85" s="93" t="s">
        <v>363</v>
      </c>
      <c r="C85" s="93" t="s">
        <v>364</v>
      </c>
      <c r="D85" s="140">
        <v>514</v>
      </c>
      <c r="E85" s="141" t="s">
        <v>332</v>
      </c>
      <c r="F85" s="141" t="s">
        <v>347</v>
      </c>
      <c r="G85" s="141">
        <v>128</v>
      </c>
      <c r="H85" s="53">
        <f t="shared" si="2"/>
        <v>4.015625</v>
      </c>
      <c r="J85" t="s">
        <v>658</v>
      </c>
    </row>
    <row r="86" spans="2:10" x14ac:dyDescent="0.25">
      <c r="B86" s="93" t="s">
        <v>365</v>
      </c>
      <c r="C86" s="93" t="s">
        <v>366</v>
      </c>
      <c r="D86" s="140">
        <v>352</v>
      </c>
      <c r="E86" s="141" t="s">
        <v>332</v>
      </c>
      <c r="F86" s="141" t="s">
        <v>347</v>
      </c>
      <c r="G86" s="141">
        <v>128</v>
      </c>
      <c r="H86" s="53">
        <f t="shared" si="2"/>
        <v>2.75</v>
      </c>
      <c r="J86" t="s">
        <v>657</v>
      </c>
    </row>
    <row r="87" spans="2:10" x14ac:dyDescent="0.25">
      <c r="B87" s="93" t="s">
        <v>367</v>
      </c>
      <c r="C87" s="93" t="s">
        <v>368</v>
      </c>
      <c r="D87" s="140">
        <v>53</v>
      </c>
      <c r="E87" s="141" t="s">
        <v>332</v>
      </c>
      <c r="F87" s="141" t="s">
        <v>347</v>
      </c>
      <c r="G87" s="141">
        <v>128</v>
      </c>
      <c r="H87" s="53">
        <f t="shared" si="2"/>
        <v>0.4140625</v>
      </c>
      <c r="J87" t="s">
        <v>658</v>
      </c>
    </row>
    <row r="88" spans="2:10" x14ac:dyDescent="0.25">
      <c r="B88" s="93" t="s">
        <v>369</v>
      </c>
      <c r="C88" s="93" t="s">
        <v>370</v>
      </c>
      <c r="D88" s="140">
        <v>151</v>
      </c>
      <c r="E88" s="141" t="s">
        <v>332</v>
      </c>
      <c r="F88" s="141" t="s">
        <v>347</v>
      </c>
      <c r="G88" s="141">
        <v>128</v>
      </c>
      <c r="H88" s="53">
        <f t="shared" si="2"/>
        <v>1.1796875</v>
      </c>
      <c r="J88" t="s">
        <v>657</v>
      </c>
    </row>
    <row r="89" spans="2:10" x14ac:dyDescent="0.25">
      <c r="B89" s="93" t="s">
        <v>371</v>
      </c>
      <c r="C89" s="93" t="s">
        <v>372</v>
      </c>
      <c r="D89" s="140">
        <v>401</v>
      </c>
      <c r="E89" s="141" t="s">
        <v>332</v>
      </c>
      <c r="F89" s="141" t="s">
        <v>347</v>
      </c>
      <c r="G89" s="141">
        <v>128</v>
      </c>
      <c r="H89" s="53">
        <f t="shared" si="2"/>
        <v>3.1328125</v>
      </c>
      <c r="J89" t="s">
        <v>657</v>
      </c>
    </row>
    <row r="90" spans="2:10" x14ac:dyDescent="0.25">
      <c r="B90" s="93" t="s">
        <v>373</v>
      </c>
      <c r="C90" s="93" t="s">
        <v>374</v>
      </c>
      <c r="D90" s="140">
        <v>198</v>
      </c>
      <c r="E90" s="141" t="s">
        <v>332</v>
      </c>
      <c r="F90" s="141" t="s">
        <v>347</v>
      </c>
      <c r="G90" s="141">
        <v>128</v>
      </c>
      <c r="H90" s="53">
        <f t="shared" si="2"/>
        <v>1.546875</v>
      </c>
      <c r="J90" t="s">
        <v>657</v>
      </c>
    </row>
    <row r="91" spans="2:10" x14ac:dyDescent="0.25">
      <c r="B91" s="93" t="s">
        <v>375</v>
      </c>
      <c r="C91" s="93" t="s">
        <v>370</v>
      </c>
      <c r="D91" s="140">
        <v>196</v>
      </c>
      <c r="E91" s="141" t="s">
        <v>332</v>
      </c>
      <c r="F91" s="141" t="s">
        <v>347</v>
      </c>
      <c r="G91" s="141">
        <v>128</v>
      </c>
      <c r="H91" s="53">
        <f t="shared" si="2"/>
        <v>1.53125</v>
      </c>
      <c r="J91" t="s">
        <v>657</v>
      </c>
    </row>
    <row r="92" spans="2:10" x14ac:dyDescent="0.25">
      <c r="B92" s="139"/>
      <c r="C92" s="139"/>
      <c r="D92" s="142"/>
      <c r="E92" s="143"/>
      <c r="F92" s="143"/>
      <c r="G92" s="143"/>
      <c r="H92" s="53" t="str">
        <f t="shared" si="2"/>
        <v/>
      </c>
      <c r="J92"/>
    </row>
    <row r="93" spans="2:10" x14ac:dyDescent="0.25">
      <c r="D93" s="45"/>
      <c r="E93" s="45"/>
      <c r="F93" s="45"/>
      <c r="G93" s="45"/>
    </row>
    <row r="94" spans="2:10" ht="30" x14ac:dyDescent="0.25">
      <c r="B94" s="30" t="s">
        <v>376</v>
      </c>
      <c r="C94" s="30" t="s">
        <v>101</v>
      </c>
      <c r="D94" s="71" t="s">
        <v>269</v>
      </c>
      <c r="E94" s="71" t="s">
        <v>270</v>
      </c>
      <c r="F94" s="71" t="s">
        <v>86</v>
      </c>
      <c r="G94" s="71" t="s">
        <v>271</v>
      </c>
      <c r="H94" s="63" t="s">
        <v>87</v>
      </c>
      <c r="J94" s="21" t="s">
        <v>656</v>
      </c>
    </row>
    <row r="95" spans="2:10" x14ac:dyDescent="0.25">
      <c r="B95" s="93" t="s">
        <v>377</v>
      </c>
      <c r="C95" s="93" t="s">
        <v>377</v>
      </c>
      <c r="D95" s="140">
        <v>18.5</v>
      </c>
      <c r="E95" s="141" t="s">
        <v>332</v>
      </c>
      <c r="F95" s="141" t="s">
        <v>311</v>
      </c>
      <c r="G95" s="141">
        <v>8</v>
      </c>
      <c r="H95" s="53">
        <f t="shared" ref="H95:H113" si="3">IFERROR(D95/G95,"")</f>
        <v>2.3125</v>
      </c>
      <c r="J95" t="s">
        <v>657</v>
      </c>
    </row>
    <row r="96" spans="2:10" x14ac:dyDescent="0.25">
      <c r="B96" s="93" t="s">
        <v>378</v>
      </c>
      <c r="C96" s="93" t="s">
        <v>379</v>
      </c>
      <c r="D96" s="140">
        <v>17</v>
      </c>
      <c r="E96" s="141" t="s">
        <v>347</v>
      </c>
      <c r="F96" s="141" t="s">
        <v>347</v>
      </c>
      <c r="G96" s="141">
        <v>1</v>
      </c>
      <c r="H96" s="53">
        <f t="shared" si="3"/>
        <v>17</v>
      </c>
      <c r="J96" t="s">
        <v>657</v>
      </c>
    </row>
    <row r="97" spans="2:10" x14ac:dyDescent="0.25">
      <c r="B97" s="93" t="s">
        <v>106</v>
      </c>
      <c r="C97" s="93" t="s">
        <v>380</v>
      </c>
      <c r="D97" s="140">
        <v>20</v>
      </c>
      <c r="E97" s="141" t="s">
        <v>332</v>
      </c>
      <c r="F97" s="141" t="s">
        <v>311</v>
      </c>
      <c r="G97" s="141">
        <v>8</v>
      </c>
      <c r="H97" s="53">
        <f t="shared" si="3"/>
        <v>2.5</v>
      </c>
      <c r="J97" t="s">
        <v>658</v>
      </c>
    </row>
    <row r="98" spans="2:10" x14ac:dyDescent="0.25">
      <c r="B98" s="93" t="s">
        <v>381</v>
      </c>
      <c r="C98" s="93" t="s">
        <v>382</v>
      </c>
      <c r="D98" s="140">
        <v>23.5</v>
      </c>
      <c r="E98" s="141" t="s">
        <v>332</v>
      </c>
      <c r="F98" s="141" t="s">
        <v>308</v>
      </c>
      <c r="G98" s="141">
        <v>4</v>
      </c>
      <c r="H98" s="53">
        <f t="shared" si="3"/>
        <v>5.875</v>
      </c>
      <c r="J98" t="s">
        <v>657</v>
      </c>
    </row>
    <row r="99" spans="2:10" x14ac:dyDescent="0.25">
      <c r="B99" s="93" t="s">
        <v>105</v>
      </c>
      <c r="C99" s="93" t="s">
        <v>383</v>
      </c>
      <c r="D99" s="140">
        <v>56.5</v>
      </c>
      <c r="E99" s="141" t="s">
        <v>332</v>
      </c>
      <c r="F99" s="141" t="s">
        <v>311</v>
      </c>
      <c r="G99" s="141">
        <v>8</v>
      </c>
      <c r="H99" s="53">
        <f t="shared" si="3"/>
        <v>7.0625</v>
      </c>
      <c r="J99" t="s">
        <v>658</v>
      </c>
    </row>
    <row r="100" spans="2:10" x14ac:dyDescent="0.25">
      <c r="B100" s="93" t="s">
        <v>384</v>
      </c>
      <c r="C100" s="93" t="s">
        <v>385</v>
      </c>
      <c r="D100" s="140">
        <v>40.5</v>
      </c>
      <c r="E100" s="141" t="s">
        <v>332</v>
      </c>
      <c r="F100" s="141" t="s">
        <v>386</v>
      </c>
      <c r="G100" s="141">
        <v>3.78</v>
      </c>
      <c r="H100" s="53">
        <f t="shared" si="3"/>
        <v>10.714285714285715</v>
      </c>
      <c r="J100" t="s">
        <v>657</v>
      </c>
    </row>
    <row r="101" spans="2:10" x14ac:dyDescent="0.25">
      <c r="B101" s="93" t="s">
        <v>387</v>
      </c>
      <c r="C101" s="93" t="s">
        <v>388</v>
      </c>
      <c r="D101" s="140">
        <v>18</v>
      </c>
      <c r="E101" s="141" t="s">
        <v>358</v>
      </c>
      <c r="F101" s="141" t="s">
        <v>389</v>
      </c>
      <c r="G101" s="141">
        <v>16</v>
      </c>
      <c r="H101" s="53">
        <f t="shared" si="3"/>
        <v>1.125</v>
      </c>
      <c r="J101" t="s">
        <v>657</v>
      </c>
    </row>
    <row r="102" spans="2:10" x14ac:dyDescent="0.25">
      <c r="B102" s="93" t="s">
        <v>104</v>
      </c>
      <c r="C102" s="93" t="s">
        <v>390</v>
      </c>
      <c r="D102" s="140">
        <v>49</v>
      </c>
      <c r="E102" s="141" t="s">
        <v>332</v>
      </c>
      <c r="F102" s="141" t="s">
        <v>311</v>
      </c>
      <c r="G102" s="141">
        <v>8</v>
      </c>
      <c r="H102" s="53">
        <f t="shared" si="3"/>
        <v>6.125</v>
      </c>
      <c r="J102" t="s">
        <v>658</v>
      </c>
    </row>
    <row r="103" spans="2:10" x14ac:dyDescent="0.25">
      <c r="B103" s="93" t="s">
        <v>391</v>
      </c>
      <c r="C103" s="93" t="s">
        <v>392</v>
      </c>
      <c r="D103" s="140">
        <v>40</v>
      </c>
      <c r="E103" s="141" t="s">
        <v>332</v>
      </c>
      <c r="F103" s="141" t="s">
        <v>347</v>
      </c>
      <c r="G103" s="141">
        <v>128</v>
      </c>
      <c r="H103" s="53">
        <f t="shared" si="3"/>
        <v>0.3125</v>
      </c>
      <c r="J103" t="s">
        <v>658</v>
      </c>
    </row>
    <row r="104" spans="2:10" x14ac:dyDescent="0.25">
      <c r="B104" s="93" t="s">
        <v>393</v>
      </c>
      <c r="C104" s="93" t="s">
        <v>390</v>
      </c>
      <c r="D104" s="140">
        <v>38</v>
      </c>
      <c r="E104" s="141" t="s">
        <v>332</v>
      </c>
      <c r="F104" s="141" t="s">
        <v>347</v>
      </c>
      <c r="G104" s="141">
        <v>128</v>
      </c>
      <c r="H104" s="53">
        <f t="shared" si="3"/>
        <v>0.296875</v>
      </c>
      <c r="J104" t="s">
        <v>657</v>
      </c>
    </row>
    <row r="105" spans="2:10" x14ac:dyDescent="0.25">
      <c r="B105" s="93" t="s">
        <v>394</v>
      </c>
      <c r="C105" s="93" t="s">
        <v>395</v>
      </c>
      <c r="D105" s="140">
        <v>15</v>
      </c>
      <c r="E105" s="141" t="s">
        <v>332</v>
      </c>
      <c r="F105" s="141" t="s">
        <v>311</v>
      </c>
      <c r="G105" s="141">
        <v>8</v>
      </c>
      <c r="H105" s="53">
        <f t="shared" si="3"/>
        <v>1.875</v>
      </c>
      <c r="J105" t="s">
        <v>657</v>
      </c>
    </row>
    <row r="106" spans="2:10" x14ac:dyDescent="0.25">
      <c r="B106" s="93" t="s">
        <v>396</v>
      </c>
      <c r="C106" s="93" t="s">
        <v>397</v>
      </c>
      <c r="D106" s="140">
        <v>45.5</v>
      </c>
      <c r="E106" s="141" t="s">
        <v>332</v>
      </c>
      <c r="F106" s="141" t="s">
        <v>311</v>
      </c>
      <c r="G106" s="141">
        <v>8</v>
      </c>
      <c r="H106" s="53">
        <f t="shared" si="3"/>
        <v>5.6875</v>
      </c>
      <c r="J106" t="s">
        <v>658</v>
      </c>
    </row>
    <row r="107" spans="2:10" x14ac:dyDescent="0.25">
      <c r="B107" s="93" t="s">
        <v>398</v>
      </c>
      <c r="C107" s="93" t="s">
        <v>399</v>
      </c>
      <c r="D107" s="140">
        <v>25</v>
      </c>
      <c r="E107" s="141" t="s">
        <v>332</v>
      </c>
      <c r="F107" s="141" t="s">
        <v>347</v>
      </c>
      <c r="G107" s="141">
        <v>128</v>
      </c>
      <c r="H107" s="53">
        <f t="shared" si="3"/>
        <v>0.1953125</v>
      </c>
      <c r="J107" t="s">
        <v>657</v>
      </c>
    </row>
    <row r="108" spans="2:10" x14ac:dyDescent="0.25">
      <c r="B108" s="93" t="s">
        <v>400</v>
      </c>
      <c r="C108" s="93" t="s">
        <v>401</v>
      </c>
      <c r="D108" s="140">
        <v>22.5</v>
      </c>
      <c r="E108" s="141" t="s">
        <v>332</v>
      </c>
      <c r="F108" s="141" t="s">
        <v>347</v>
      </c>
      <c r="G108" s="141">
        <v>128</v>
      </c>
      <c r="H108" s="53">
        <f t="shared" si="3"/>
        <v>0.17578125</v>
      </c>
      <c r="J108" t="s">
        <v>658</v>
      </c>
    </row>
    <row r="109" spans="2:10" x14ac:dyDescent="0.25">
      <c r="B109" s="93" t="s">
        <v>402</v>
      </c>
      <c r="C109" s="93" t="s">
        <v>397</v>
      </c>
      <c r="D109" s="140">
        <v>37</v>
      </c>
      <c r="E109" s="141" t="s">
        <v>332</v>
      </c>
      <c r="F109" s="141" t="s">
        <v>311</v>
      </c>
      <c r="G109" s="141">
        <v>8</v>
      </c>
      <c r="H109" s="53">
        <f t="shared" si="3"/>
        <v>4.625</v>
      </c>
      <c r="J109" t="s">
        <v>657</v>
      </c>
    </row>
    <row r="110" spans="2:10" x14ac:dyDescent="0.25">
      <c r="B110" s="93" t="s">
        <v>403</v>
      </c>
      <c r="C110" s="93" t="s">
        <v>404</v>
      </c>
      <c r="D110" s="140">
        <v>88.25</v>
      </c>
      <c r="E110" s="141" t="s">
        <v>332</v>
      </c>
      <c r="F110" s="141" t="s">
        <v>347</v>
      </c>
      <c r="G110" s="141">
        <v>128</v>
      </c>
      <c r="H110" s="53">
        <f t="shared" si="3"/>
        <v>0.689453125</v>
      </c>
      <c r="J110" t="s">
        <v>657</v>
      </c>
    </row>
    <row r="111" spans="2:10" x14ac:dyDescent="0.25">
      <c r="B111" s="93" t="s">
        <v>405</v>
      </c>
      <c r="C111" s="93" t="s">
        <v>406</v>
      </c>
      <c r="D111" s="140">
        <v>4.5</v>
      </c>
      <c r="E111" s="141" t="s">
        <v>407</v>
      </c>
      <c r="F111" s="141" t="s">
        <v>389</v>
      </c>
      <c r="G111" s="141">
        <v>1</v>
      </c>
      <c r="H111" s="53">
        <f t="shared" si="3"/>
        <v>4.5</v>
      </c>
      <c r="J111" t="s">
        <v>657</v>
      </c>
    </row>
    <row r="112" spans="2:10" x14ac:dyDescent="0.25">
      <c r="B112" s="93" t="s">
        <v>408</v>
      </c>
      <c r="C112" s="93" t="s">
        <v>388</v>
      </c>
      <c r="D112" s="140">
        <v>36</v>
      </c>
      <c r="E112" s="141" t="s">
        <v>358</v>
      </c>
      <c r="F112" s="141" t="s">
        <v>389</v>
      </c>
      <c r="G112" s="141">
        <v>16</v>
      </c>
      <c r="H112" s="53">
        <f t="shared" si="3"/>
        <v>2.25</v>
      </c>
      <c r="J112" t="s">
        <v>658</v>
      </c>
    </row>
    <row r="113" spans="2:10" x14ac:dyDescent="0.25">
      <c r="B113" s="139"/>
      <c r="C113" s="139"/>
      <c r="D113" s="142"/>
      <c r="E113" s="143"/>
      <c r="F113" s="143"/>
      <c r="G113" s="143"/>
      <c r="H113" s="69" t="str">
        <f t="shared" si="3"/>
        <v/>
      </c>
      <c r="J113"/>
    </row>
    <row r="114" spans="2:10" x14ac:dyDescent="0.25">
      <c r="D114" s="45"/>
      <c r="E114" s="45"/>
      <c r="F114" s="45"/>
      <c r="G114" s="45"/>
    </row>
    <row r="115" spans="2:10" ht="30" x14ac:dyDescent="0.25">
      <c r="B115" s="30" t="s">
        <v>409</v>
      </c>
      <c r="C115" s="30" t="s">
        <v>101</v>
      </c>
      <c r="D115" s="71" t="s">
        <v>269</v>
      </c>
      <c r="E115" s="71" t="s">
        <v>270</v>
      </c>
      <c r="F115" s="71" t="s">
        <v>86</v>
      </c>
      <c r="G115" s="71" t="s">
        <v>271</v>
      </c>
      <c r="H115" s="63" t="s">
        <v>87</v>
      </c>
      <c r="J115" s="21" t="s">
        <v>656</v>
      </c>
    </row>
    <row r="116" spans="2:10" x14ac:dyDescent="0.25">
      <c r="B116" s="93" t="s">
        <v>410</v>
      </c>
      <c r="C116" s="93" t="s">
        <v>411</v>
      </c>
      <c r="D116" s="140">
        <v>58</v>
      </c>
      <c r="E116" s="141" t="s">
        <v>332</v>
      </c>
      <c r="F116" s="141" t="s">
        <v>347</v>
      </c>
      <c r="G116" s="141">
        <v>128</v>
      </c>
      <c r="H116" s="53">
        <f t="shared" ref="H116:H132" si="4">IFERROR(D116/G116,"")</f>
        <v>0.453125</v>
      </c>
      <c r="J116" t="s">
        <v>657</v>
      </c>
    </row>
    <row r="117" spans="2:10" x14ac:dyDescent="0.25">
      <c r="B117" s="93" t="s">
        <v>108</v>
      </c>
      <c r="C117" s="93" t="s">
        <v>412</v>
      </c>
      <c r="D117" s="140">
        <v>257.5</v>
      </c>
      <c r="E117" s="141" t="s">
        <v>332</v>
      </c>
      <c r="F117" s="141" t="s">
        <v>347</v>
      </c>
      <c r="G117" s="141">
        <v>128</v>
      </c>
      <c r="H117" s="53">
        <f t="shared" si="4"/>
        <v>2.01171875</v>
      </c>
      <c r="J117" t="s">
        <v>658</v>
      </c>
    </row>
    <row r="118" spans="2:10" x14ac:dyDescent="0.25">
      <c r="B118" s="93" t="s">
        <v>413</v>
      </c>
      <c r="C118" s="93" t="s">
        <v>411</v>
      </c>
      <c r="D118" s="140">
        <v>45</v>
      </c>
      <c r="E118" s="141" t="s">
        <v>332</v>
      </c>
      <c r="F118" s="141" t="s">
        <v>347</v>
      </c>
      <c r="G118" s="141">
        <v>128</v>
      </c>
      <c r="H118" s="53">
        <f t="shared" si="4"/>
        <v>0.3515625</v>
      </c>
      <c r="J118" t="s">
        <v>657</v>
      </c>
    </row>
    <row r="119" spans="2:10" x14ac:dyDescent="0.25">
      <c r="B119" s="93" t="s">
        <v>414</v>
      </c>
      <c r="C119" s="93" t="s">
        <v>411</v>
      </c>
      <c r="D119" s="140">
        <v>87</v>
      </c>
      <c r="E119" s="141" t="s">
        <v>332</v>
      </c>
      <c r="F119" s="141" t="s">
        <v>347</v>
      </c>
      <c r="G119" s="141">
        <v>128</v>
      </c>
      <c r="H119" s="53">
        <f t="shared" si="4"/>
        <v>0.6796875</v>
      </c>
      <c r="J119" t="s">
        <v>657</v>
      </c>
    </row>
    <row r="120" spans="2:10" x14ac:dyDescent="0.25">
      <c r="B120" s="93" t="s">
        <v>415</v>
      </c>
      <c r="C120" s="93" t="s">
        <v>416</v>
      </c>
      <c r="D120" s="140">
        <v>63.05</v>
      </c>
      <c r="E120" s="141" t="s">
        <v>332</v>
      </c>
      <c r="F120" s="141" t="s">
        <v>311</v>
      </c>
      <c r="G120" s="141">
        <v>8</v>
      </c>
      <c r="H120" s="53">
        <f t="shared" si="4"/>
        <v>7.8812499999999996</v>
      </c>
      <c r="J120" t="s">
        <v>657</v>
      </c>
    </row>
    <row r="121" spans="2:10" x14ac:dyDescent="0.25">
      <c r="B121" s="93" t="s">
        <v>417</v>
      </c>
      <c r="C121" s="93" t="s">
        <v>418</v>
      </c>
      <c r="D121" s="140">
        <v>1265</v>
      </c>
      <c r="E121" s="141" t="s">
        <v>332</v>
      </c>
      <c r="F121" s="141" t="s">
        <v>347</v>
      </c>
      <c r="G121" s="141">
        <v>128</v>
      </c>
      <c r="H121" s="53">
        <f t="shared" si="4"/>
        <v>9.8828125</v>
      </c>
      <c r="J121" t="s">
        <v>657</v>
      </c>
    </row>
    <row r="122" spans="2:10" x14ac:dyDescent="0.25">
      <c r="B122" s="93" t="s">
        <v>419</v>
      </c>
      <c r="C122" s="93" t="s">
        <v>420</v>
      </c>
      <c r="D122" s="140">
        <v>12.95</v>
      </c>
      <c r="E122" s="141" t="s">
        <v>358</v>
      </c>
      <c r="F122" s="141" t="s">
        <v>304</v>
      </c>
      <c r="G122" s="141">
        <v>1</v>
      </c>
      <c r="H122" s="53">
        <f t="shared" si="4"/>
        <v>12.95</v>
      </c>
      <c r="J122" t="s">
        <v>657</v>
      </c>
    </row>
    <row r="123" spans="2:10" x14ac:dyDescent="0.25">
      <c r="B123" s="93" t="s">
        <v>421</v>
      </c>
      <c r="C123" s="93" t="s">
        <v>422</v>
      </c>
      <c r="D123" s="140">
        <v>218</v>
      </c>
      <c r="E123" s="141" t="s">
        <v>332</v>
      </c>
      <c r="F123" s="141" t="s">
        <v>347</v>
      </c>
      <c r="G123" s="141">
        <v>128</v>
      </c>
      <c r="H123" s="53">
        <f t="shared" si="4"/>
        <v>1.703125</v>
      </c>
      <c r="J123" t="s">
        <v>657</v>
      </c>
    </row>
    <row r="124" spans="2:10" x14ac:dyDescent="0.25">
      <c r="B124" s="93" t="s">
        <v>423</v>
      </c>
      <c r="C124" s="93" t="s">
        <v>424</v>
      </c>
      <c r="D124" s="140">
        <v>272</v>
      </c>
      <c r="E124" s="141" t="s">
        <v>332</v>
      </c>
      <c r="F124" s="141" t="s">
        <v>347</v>
      </c>
      <c r="G124" s="141">
        <v>128</v>
      </c>
      <c r="H124" s="53">
        <f t="shared" si="4"/>
        <v>2.125</v>
      </c>
      <c r="J124" t="s">
        <v>657</v>
      </c>
    </row>
    <row r="125" spans="2:10" x14ac:dyDescent="0.25">
      <c r="B125" s="93" t="s">
        <v>425</v>
      </c>
      <c r="C125" s="93" t="s">
        <v>426</v>
      </c>
      <c r="D125" s="140">
        <v>40</v>
      </c>
      <c r="E125" s="141" t="s">
        <v>332</v>
      </c>
      <c r="F125" s="141" t="s">
        <v>311</v>
      </c>
      <c r="G125" s="141">
        <v>8</v>
      </c>
      <c r="H125" s="53">
        <f t="shared" si="4"/>
        <v>5</v>
      </c>
      <c r="J125" t="s">
        <v>657</v>
      </c>
    </row>
    <row r="126" spans="2:10" x14ac:dyDescent="0.25">
      <c r="B126" s="93" t="s">
        <v>427</v>
      </c>
      <c r="C126" s="93" t="s">
        <v>428</v>
      </c>
      <c r="D126" s="140">
        <v>80</v>
      </c>
      <c r="E126" s="141" t="s">
        <v>332</v>
      </c>
      <c r="F126" s="141" t="s">
        <v>311</v>
      </c>
      <c r="G126" s="141">
        <v>8</v>
      </c>
      <c r="H126" s="53">
        <f t="shared" si="4"/>
        <v>10</v>
      </c>
      <c r="J126" t="s">
        <v>657</v>
      </c>
    </row>
    <row r="127" spans="2:10" x14ac:dyDescent="0.25">
      <c r="B127" s="93" t="s">
        <v>429</v>
      </c>
      <c r="C127" s="93" t="s">
        <v>430</v>
      </c>
      <c r="D127" s="140">
        <v>891</v>
      </c>
      <c r="E127" s="141" t="s">
        <v>332</v>
      </c>
      <c r="F127" s="141" t="s">
        <v>347</v>
      </c>
      <c r="G127" s="141">
        <v>128</v>
      </c>
      <c r="H127" s="53">
        <f t="shared" si="4"/>
        <v>6.9609375</v>
      </c>
      <c r="J127" t="s">
        <v>657</v>
      </c>
    </row>
    <row r="128" spans="2:10" x14ac:dyDescent="0.25">
      <c r="B128" s="93" t="s">
        <v>431</v>
      </c>
      <c r="C128" s="93" t="s">
        <v>432</v>
      </c>
      <c r="D128" s="140">
        <v>306</v>
      </c>
      <c r="E128" s="141" t="s">
        <v>332</v>
      </c>
      <c r="F128" s="141" t="s">
        <v>347</v>
      </c>
      <c r="G128" s="141">
        <v>128</v>
      </c>
      <c r="H128" s="53">
        <f t="shared" si="4"/>
        <v>2.390625</v>
      </c>
      <c r="J128" t="s">
        <v>657</v>
      </c>
    </row>
    <row r="129" spans="2:10" x14ac:dyDescent="0.25">
      <c r="B129" s="93" t="s">
        <v>433</v>
      </c>
      <c r="C129" s="93" t="s">
        <v>434</v>
      </c>
      <c r="D129" s="140">
        <v>321</v>
      </c>
      <c r="E129" s="141" t="s">
        <v>332</v>
      </c>
      <c r="F129" s="141" t="s">
        <v>347</v>
      </c>
      <c r="G129" s="141">
        <v>128</v>
      </c>
      <c r="H129" s="53">
        <f t="shared" si="4"/>
        <v>2.5078125</v>
      </c>
      <c r="J129" t="s">
        <v>657</v>
      </c>
    </row>
    <row r="130" spans="2:10" x14ac:dyDescent="0.25">
      <c r="B130" s="93" t="s">
        <v>435</v>
      </c>
      <c r="C130" s="93" t="s">
        <v>436</v>
      </c>
      <c r="D130" s="140">
        <v>4.8499999999999996</v>
      </c>
      <c r="E130" s="141" t="s">
        <v>358</v>
      </c>
      <c r="F130" s="141" t="s">
        <v>304</v>
      </c>
      <c r="G130" s="141">
        <v>1</v>
      </c>
      <c r="H130" s="53">
        <f t="shared" si="4"/>
        <v>4.8499999999999996</v>
      </c>
      <c r="J130" t="s">
        <v>657</v>
      </c>
    </row>
    <row r="131" spans="2:10" x14ac:dyDescent="0.25">
      <c r="B131" s="93" t="s">
        <v>437</v>
      </c>
      <c r="C131" s="93" t="s">
        <v>438</v>
      </c>
      <c r="D131" s="140">
        <v>150</v>
      </c>
      <c r="E131" s="141" t="s">
        <v>332</v>
      </c>
      <c r="F131" s="141" t="s">
        <v>347</v>
      </c>
      <c r="G131" s="141">
        <v>128</v>
      </c>
      <c r="H131" s="53">
        <f t="shared" si="4"/>
        <v>1.171875</v>
      </c>
      <c r="J131" t="s">
        <v>657</v>
      </c>
    </row>
    <row r="132" spans="2:10" x14ac:dyDescent="0.25">
      <c r="B132" s="139"/>
      <c r="C132" s="139"/>
      <c r="D132" s="142"/>
      <c r="E132" s="143"/>
      <c r="F132" s="143"/>
      <c r="G132" s="143"/>
      <c r="H132" s="53" t="str">
        <f t="shared" si="4"/>
        <v/>
      </c>
      <c r="J132"/>
    </row>
    <row r="133" spans="2:10" x14ac:dyDescent="0.25">
      <c r="D133" s="45"/>
      <c r="E133" s="45"/>
      <c r="F133" s="45"/>
      <c r="G133" s="45"/>
    </row>
    <row r="134" spans="2:10" ht="30" x14ac:dyDescent="0.25">
      <c r="B134" s="30" t="s">
        <v>439</v>
      </c>
      <c r="C134" s="30" t="s">
        <v>101</v>
      </c>
      <c r="D134" s="71" t="s">
        <v>269</v>
      </c>
      <c r="E134" s="71" t="s">
        <v>270</v>
      </c>
      <c r="F134" s="71" t="s">
        <v>86</v>
      </c>
      <c r="G134" s="71" t="s">
        <v>271</v>
      </c>
      <c r="H134" s="63" t="s">
        <v>87</v>
      </c>
      <c r="J134" s="21" t="s">
        <v>656</v>
      </c>
    </row>
    <row r="135" spans="2:10" x14ac:dyDescent="0.25">
      <c r="B135" s="93" t="s">
        <v>110</v>
      </c>
      <c r="C135" s="93" t="s">
        <v>440</v>
      </c>
      <c r="D135" s="140">
        <v>4.76</v>
      </c>
      <c r="E135" s="141" t="s">
        <v>358</v>
      </c>
      <c r="F135" s="141" t="s">
        <v>389</v>
      </c>
      <c r="G135" s="141">
        <v>16</v>
      </c>
      <c r="H135" s="53">
        <f t="shared" ref="H135:H138" si="5">IFERROR(D135/G135,"")</f>
        <v>0.29749999999999999</v>
      </c>
      <c r="J135" t="s">
        <v>658</v>
      </c>
    </row>
    <row r="136" spans="2:10" x14ac:dyDescent="0.25">
      <c r="B136" s="93" t="s">
        <v>441</v>
      </c>
      <c r="C136" s="93" t="s">
        <v>442</v>
      </c>
      <c r="D136" s="140">
        <v>353</v>
      </c>
      <c r="E136" s="141" t="s">
        <v>332</v>
      </c>
      <c r="F136" s="141" t="s">
        <v>347</v>
      </c>
      <c r="G136" s="141">
        <v>128</v>
      </c>
      <c r="H136" s="53">
        <f t="shared" si="5"/>
        <v>2.7578125</v>
      </c>
      <c r="J136" t="s">
        <v>657</v>
      </c>
    </row>
    <row r="137" spans="2:10" x14ac:dyDescent="0.25">
      <c r="B137" s="93" t="s">
        <v>443</v>
      </c>
      <c r="C137" s="93" t="s">
        <v>444</v>
      </c>
      <c r="D137" s="140">
        <v>720.64</v>
      </c>
      <c r="E137" s="141" t="s">
        <v>332</v>
      </c>
      <c r="F137" s="141" t="s">
        <v>347</v>
      </c>
      <c r="G137" s="141">
        <v>128</v>
      </c>
      <c r="H137" s="53">
        <f t="shared" si="5"/>
        <v>5.63</v>
      </c>
      <c r="J137" t="s">
        <v>658</v>
      </c>
    </row>
    <row r="138" spans="2:10" x14ac:dyDescent="0.25">
      <c r="B138" s="139"/>
      <c r="C138" s="139"/>
      <c r="D138" s="142"/>
      <c r="E138" s="143"/>
      <c r="F138" s="143"/>
      <c r="G138" s="143"/>
      <c r="H138" s="69" t="str">
        <f t="shared" si="5"/>
        <v/>
      </c>
      <c r="J138"/>
    </row>
    <row r="139" spans="2:10" x14ac:dyDescent="0.25">
      <c r="D139" s="45"/>
      <c r="E139" s="45"/>
      <c r="F139" s="45"/>
      <c r="G139" s="45"/>
    </row>
    <row r="140" spans="2:10" ht="30" x14ac:dyDescent="0.25">
      <c r="B140" s="30" t="s">
        <v>111</v>
      </c>
      <c r="C140" s="30" t="s">
        <v>445</v>
      </c>
      <c r="D140" s="71" t="s">
        <v>269</v>
      </c>
      <c r="E140" s="71" t="s">
        <v>270</v>
      </c>
      <c r="F140" s="71" t="s">
        <v>86</v>
      </c>
      <c r="G140" s="71" t="s">
        <v>271</v>
      </c>
      <c r="H140" s="63" t="s">
        <v>87</v>
      </c>
      <c r="J140" s="21" t="s">
        <v>656</v>
      </c>
    </row>
    <row r="141" spans="2:10" x14ac:dyDescent="0.25">
      <c r="B141" s="93" t="s">
        <v>112</v>
      </c>
      <c r="C141" s="93" t="s">
        <v>446</v>
      </c>
      <c r="D141" s="140">
        <v>19.25</v>
      </c>
      <c r="E141" s="141" t="s">
        <v>332</v>
      </c>
      <c r="F141" s="141" t="s">
        <v>311</v>
      </c>
      <c r="G141" s="141">
        <v>8</v>
      </c>
      <c r="H141" s="53">
        <f t="shared" ref="H141:H151" si="6">IFERROR(D141/G141,"")</f>
        <v>2.40625</v>
      </c>
      <c r="J141" t="s">
        <v>657</v>
      </c>
    </row>
    <row r="142" spans="2:10" x14ac:dyDescent="0.25">
      <c r="B142" s="93" t="s">
        <v>447</v>
      </c>
      <c r="C142" s="93" t="s">
        <v>446</v>
      </c>
      <c r="D142" s="140">
        <v>26</v>
      </c>
      <c r="E142" s="141" t="s">
        <v>332</v>
      </c>
      <c r="F142" s="141" t="s">
        <v>311</v>
      </c>
      <c r="G142" s="141">
        <v>8</v>
      </c>
      <c r="H142" s="53">
        <f t="shared" si="6"/>
        <v>3.25</v>
      </c>
      <c r="J142" t="s">
        <v>657</v>
      </c>
    </row>
    <row r="143" spans="2:10" x14ac:dyDescent="0.25">
      <c r="B143" s="93" t="s">
        <v>448</v>
      </c>
      <c r="C143" s="93" t="s">
        <v>449</v>
      </c>
      <c r="D143" s="140">
        <v>0.45</v>
      </c>
      <c r="E143" s="141" t="s">
        <v>358</v>
      </c>
      <c r="F143" s="141" t="s">
        <v>358</v>
      </c>
      <c r="G143" s="141">
        <v>1</v>
      </c>
      <c r="H143" s="53">
        <f t="shared" si="6"/>
        <v>0.45</v>
      </c>
      <c r="J143" t="s">
        <v>657</v>
      </c>
    </row>
    <row r="144" spans="2:10" x14ac:dyDescent="0.25">
      <c r="B144" s="93"/>
      <c r="C144" s="93"/>
      <c r="D144" s="140"/>
      <c r="E144" s="141"/>
      <c r="F144" s="141"/>
      <c r="G144" s="141"/>
      <c r="H144" s="53" t="str">
        <f t="shared" si="6"/>
        <v/>
      </c>
      <c r="J144"/>
    </row>
    <row r="145" spans="2:10" x14ac:dyDescent="0.25">
      <c r="B145" s="93"/>
      <c r="C145" s="93"/>
      <c r="D145" s="140"/>
      <c r="E145" s="141"/>
      <c r="F145" s="141"/>
      <c r="G145" s="141"/>
      <c r="H145" s="53" t="str">
        <f t="shared" si="6"/>
        <v/>
      </c>
      <c r="J145"/>
    </row>
    <row r="146" spans="2:10" x14ac:dyDescent="0.25">
      <c r="B146" s="93"/>
      <c r="C146" s="93"/>
      <c r="D146" s="140"/>
      <c r="E146" s="141"/>
      <c r="F146" s="141"/>
      <c r="G146" s="141"/>
      <c r="H146" s="53" t="str">
        <f t="shared" si="6"/>
        <v/>
      </c>
      <c r="J146"/>
    </row>
    <row r="147" spans="2:10" x14ac:dyDescent="0.25">
      <c r="B147" s="93"/>
      <c r="C147" s="93"/>
      <c r="D147" s="140"/>
      <c r="E147" s="141"/>
      <c r="F147" s="141"/>
      <c r="G147" s="141"/>
      <c r="H147" s="53" t="str">
        <f t="shared" si="6"/>
        <v/>
      </c>
      <c r="J147"/>
    </row>
    <row r="148" spans="2:10" x14ac:dyDescent="0.25">
      <c r="B148" s="93"/>
      <c r="C148" s="93"/>
      <c r="D148" s="140"/>
      <c r="E148" s="141"/>
      <c r="F148" s="141"/>
      <c r="G148" s="141"/>
      <c r="H148" s="53" t="str">
        <f t="shared" si="6"/>
        <v/>
      </c>
      <c r="J148"/>
    </row>
    <row r="149" spans="2:10" x14ac:dyDescent="0.25">
      <c r="B149" s="93"/>
      <c r="C149" s="93"/>
      <c r="D149" s="140"/>
      <c r="E149" s="141"/>
      <c r="F149" s="141"/>
      <c r="G149" s="141"/>
      <c r="H149" s="53" t="str">
        <f t="shared" si="6"/>
        <v/>
      </c>
      <c r="J149"/>
    </row>
    <row r="150" spans="2:10" x14ac:dyDescent="0.25">
      <c r="B150" s="93"/>
      <c r="C150" s="93"/>
      <c r="D150" s="140"/>
      <c r="E150" s="141"/>
      <c r="F150" s="141"/>
      <c r="G150" s="141"/>
      <c r="H150" s="53" t="str">
        <f t="shared" si="6"/>
        <v/>
      </c>
      <c r="J150"/>
    </row>
    <row r="151" spans="2:10" x14ac:dyDescent="0.25">
      <c r="B151" s="139"/>
      <c r="C151" s="139"/>
      <c r="D151" s="142"/>
      <c r="E151" s="143"/>
      <c r="F151" s="143"/>
      <c r="G151" s="143"/>
      <c r="H151" s="69" t="str">
        <f t="shared" si="6"/>
        <v/>
      </c>
      <c r="J151"/>
    </row>
  </sheetData>
  <sheetProtection algorithmName="SHA-512" hashValue="WjlB43aIu3sWOc1EYqfbjlJZ/bIrLmyFKaNctVymsSytjkVyKIGXeFBHouj0oHhfBZAr5zTL8PoMU/zlkvarlA==" saltValue="ekHnoOmxkHcfiIbbc4okdw=="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workbookViewId="0"/>
  </sheetViews>
  <sheetFormatPr defaultColWidth="8.85546875" defaultRowHeight="15" x14ac:dyDescent="0.25"/>
  <cols>
    <col min="1" max="1" width="4.7109375" style="39" customWidth="1"/>
    <col min="2" max="2" width="62.7109375" style="39" customWidth="1"/>
    <col min="3" max="3" width="25.7109375" style="39" customWidth="1"/>
    <col min="4" max="4" width="15.7109375" style="39" customWidth="1"/>
    <col min="5" max="5" width="11.85546875" style="39" customWidth="1"/>
    <col min="6" max="6" width="14.7109375" style="39" customWidth="1"/>
    <col min="7" max="8" width="10.7109375" style="39" customWidth="1"/>
    <col min="9" max="9" width="14.7109375" style="39" customWidth="1"/>
    <col min="10" max="10" width="15.7109375" style="39" customWidth="1"/>
    <col min="11" max="11" width="13.7109375" style="39" customWidth="1"/>
    <col min="12" max="12" width="15.7109375" style="39" customWidth="1"/>
    <col min="13" max="16" width="13.7109375" style="39" customWidth="1"/>
    <col min="17" max="17" width="8.85546875" style="39"/>
    <col min="18" max="18" width="31.140625" style="39" customWidth="1"/>
    <col min="19" max="16384" width="8.85546875" style="39"/>
  </cols>
  <sheetData>
    <row r="1" spans="2:16" ht="19.5" thickBot="1" x14ac:dyDescent="0.35">
      <c r="B1" s="235" t="s">
        <v>450</v>
      </c>
      <c r="C1" s="235"/>
      <c r="D1" s="235"/>
      <c r="E1" s="235"/>
      <c r="F1" s="235"/>
      <c r="G1" s="235"/>
      <c r="H1" s="235"/>
      <c r="I1" s="235"/>
      <c r="J1" s="235"/>
      <c r="K1" s="235"/>
      <c r="L1" s="235"/>
      <c r="M1" s="235"/>
      <c r="N1" s="235"/>
      <c r="O1" s="235"/>
      <c r="P1" s="235"/>
    </row>
    <row r="3" spans="2:16" x14ac:dyDescent="0.25">
      <c r="B3" s="7" t="s">
        <v>451</v>
      </c>
      <c r="C3" s="144">
        <v>8.43E-2</v>
      </c>
    </row>
    <row r="5" spans="2:16" x14ac:dyDescent="0.25">
      <c r="B5" s="262" t="s">
        <v>452</v>
      </c>
      <c r="C5" s="262"/>
      <c r="D5" s="262"/>
      <c r="E5" s="262"/>
      <c r="F5" s="262"/>
      <c r="G5" s="262"/>
      <c r="H5" s="262"/>
      <c r="I5" s="263"/>
      <c r="J5" s="260" t="s">
        <v>453</v>
      </c>
      <c r="K5" s="261"/>
      <c r="L5" s="261"/>
      <c r="M5" s="261"/>
      <c r="N5" s="260" t="s">
        <v>454</v>
      </c>
      <c r="O5" s="261"/>
      <c r="P5" s="261"/>
    </row>
    <row r="6" spans="2:16" ht="30" customHeight="1" x14ac:dyDescent="0.25">
      <c r="B6" s="30" t="s">
        <v>455</v>
      </c>
      <c r="C6" s="30" t="s">
        <v>456</v>
      </c>
      <c r="D6" s="30" t="s">
        <v>164</v>
      </c>
      <c r="E6" s="63" t="s">
        <v>457</v>
      </c>
      <c r="F6" s="64" t="s">
        <v>458</v>
      </c>
      <c r="G6" s="63" t="s">
        <v>459</v>
      </c>
      <c r="H6" s="63" t="s">
        <v>460</v>
      </c>
      <c r="I6" s="63" t="s">
        <v>461</v>
      </c>
      <c r="J6" s="65" t="s">
        <v>462</v>
      </c>
      <c r="K6" s="63" t="s">
        <v>463</v>
      </c>
      <c r="L6" s="63" t="s">
        <v>464</v>
      </c>
      <c r="M6" s="63" t="s">
        <v>465</v>
      </c>
      <c r="N6" s="65" t="s">
        <v>466</v>
      </c>
      <c r="O6" s="64" t="s">
        <v>467</v>
      </c>
      <c r="P6" s="64" t="s">
        <v>468</v>
      </c>
    </row>
    <row r="7" spans="2:16" x14ac:dyDescent="0.25">
      <c r="B7" s="93" t="s">
        <v>144</v>
      </c>
      <c r="C7" s="93" t="s">
        <v>469</v>
      </c>
      <c r="D7" s="93" t="s">
        <v>240</v>
      </c>
      <c r="E7" s="93">
        <v>360</v>
      </c>
      <c r="F7" s="145">
        <v>630371</v>
      </c>
      <c r="G7" s="123">
        <v>200</v>
      </c>
      <c r="H7" s="123">
        <v>15</v>
      </c>
      <c r="I7" s="146">
        <f t="shared" ref="I7:I29" si="0">F7*(VLOOKUP(C7,MachineCoefficientTable,2,FALSE)-(VLOOKUP(C7,MachineCoefficientTable,3,FALSE)*(H7^0.5))-(VLOOKUP(C7,MachineCoefficientTable,4,FALSE)*(G7^0.5)))^2</f>
        <v>91618.140694456233</v>
      </c>
      <c r="J7" s="147">
        <f t="shared" ref="J7:J29" si="1">IF(ISBLANK(B7),"",PMT(InterestRate_Machinery,H7,-F7,I7,1))</f>
        <v>66704.672566371184</v>
      </c>
      <c r="K7" s="148">
        <f t="shared" ref="K7:K29" si="2">F7*0.02</f>
        <v>12607.42</v>
      </c>
      <c r="L7" s="149">
        <f>J7+K7</f>
        <v>79312.092566371182</v>
      </c>
      <c r="M7" s="146">
        <f>(VLOOKUP(C7,MachineCoefficientTable,5,FALSE)*F7*(((G7*H7)/1000)^VLOOKUP(C7,MachineCoefficientTable,6,FALSE)))/H7</f>
        <v>16885.720352134242</v>
      </c>
      <c r="N7" s="150">
        <f>L7/G7</f>
        <v>396.56046283185589</v>
      </c>
      <c r="O7" s="151">
        <f>M7/G7</f>
        <v>84.428601760671214</v>
      </c>
      <c r="P7" s="152">
        <f t="shared" ref="P7:P29" si="3">0.0438*E7*1.15</f>
        <v>18.133199999999999</v>
      </c>
    </row>
    <row r="8" spans="2:16" x14ac:dyDescent="0.25">
      <c r="B8" s="93" t="s">
        <v>470</v>
      </c>
      <c r="C8" s="93" t="s">
        <v>469</v>
      </c>
      <c r="D8" s="93" t="s">
        <v>240</v>
      </c>
      <c r="E8" s="93">
        <v>450</v>
      </c>
      <c r="F8" s="145">
        <v>716653</v>
      </c>
      <c r="G8" s="123">
        <v>200</v>
      </c>
      <c r="H8" s="123">
        <v>15</v>
      </c>
      <c r="I8" s="146">
        <f t="shared" si="0"/>
        <v>104158.36925097149</v>
      </c>
      <c r="J8" s="147">
        <f t="shared" si="1"/>
        <v>75834.87138321338</v>
      </c>
      <c r="K8" s="148">
        <f t="shared" si="2"/>
        <v>14333.06</v>
      </c>
      <c r="L8" s="149">
        <f t="shared" ref="L8:L29" si="4">J8+K8</f>
        <v>90167.931383213378</v>
      </c>
      <c r="M8" s="146">
        <f t="shared" ref="M8:M29" si="5">(VLOOKUP(C8,MachineCoefficientTable,5,FALSE)*F8*((G8*H8)/1000)^VLOOKUP(C8,MachineCoefficientTable,6,FALSE))/H8</f>
        <v>19196.95250498208</v>
      </c>
      <c r="N8" s="147">
        <f t="shared" ref="N8:N29" si="6">L8/G8</f>
        <v>450.83965691606687</v>
      </c>
      <c r="O8" s="149">
        <f t="shared" ref="O8:O29" si="7">M8/G8</f>
        <v>95.984762524910408</v>
      </c>
      <c r="P8" s="152">
        <f t="shared" si="3"/>
        <v>22.666499999999999</v>
      </c>
    </row>
    <row r="9" spans="2:16" x14ac:dyDescent="0.25">
      <c r="B9" s="93" t="s">
        <v>471</v>
      </c>
      <c r="C9" s="93" t="s">
        <v>469</v>
      </c>
      <c r="D9" s="93" t="s">
        <v>240</v>
      </c>
      <c r="E9" s="93">
        <v>545</v>
      </c>
      <c r="F9" s="145">
        <v>855595</v>
      </c>
      <c r="G9" s="123">
        <v>200</v>
      </c>
      <c r="H9" s="123">
        <v>15</v>
      </c>
      <c r="I9" s="146">
        <f t="shared" si="0"/>
        <v>124352.20384102898</v>
      </c>
      <c r="J9" s="147">
        <f t="shared" si="1"/>
        <v>90537.452269257861</v>
      </c>
      <c r="K9" s="148">
        <f t="shared" si="2"/>
        <v>17111.900000000001</v>
      </c>
      <c r="L9" s="149">
        <f t="shared" si="4"/>
        <v>107649.35226925786</v>
      </c>
      <c r="M9" s="146">
        <f t="shared" si="5"/>
        <v>22918.785770100934</v>
      </c>
      <c r="N9" s="147">
        <f t="shared" si="6"/>
        <v>538.2467613462893</v>
      </c>
      <c r="O9" s="149">
        <f t="shared" si="7"/>
        <v>114.59392885050467</v>
      </c>
      <c r="P9" s="152">
        <f t="shared" si="3"/>
        <v>27.451649999999997</v>
      </c>
    </row>
    <row r="10" spans="2:16" x14ac:dyDescent="0.25">
      <c r="B10" s="93" t="s">
        <v>472</v>
      </c>
      <c r="C10" s="93" t="s">
        <v>469</v>
      </c>
      <c r="D10" s="93" t="s">
        <v>240</v>
      </c>
      <c r="E10" s="93">
        <v>435</v>
      </c>
      <c r="F10" s="145">
        <v>569205</v>
      </c>
      <c r="G10" s="123">
        <v>200</v>
      </c>
      <c r="H10" s="123">
        <v>15</v>
      </c>
      <c r="I10" s="146">
        <f t="shared" si="0"/>
        <v>82728.272357053167</v>
      </c>
      <c r="J10" s="147">
        <f t="shared" si="1"/>
        <v>60232.20158944701</v>
      </c>
      <c r="K10" s="148">
        <f t="shared" si="2"/>
        <v>11384.1</v>
      </c>
      <c r="L10" s="149">
        <f t="shared" si="4"/>
        <v>71616.301589447015</v>
      </c>
      <c r="M10" s="146">
        <f t="shared" si="5"/>
        <v>15247.269390623253</v>
      </c>
      <c r="N10" s="147">
        <f t="shared" si="6"/>
        <v>358.08150794723508</v>
      </c>
      <c r="O10" s="149">
        <f t="shared" si="7"/>
        <v>76.236346953116268</v>
      </c>
      <c r="P10" s="152">
        <f t="shared" si="3"/>
        <v>21.91095</v>
      </c>
    </row>
    <row r="11" spans="2:16" x14ac:dyDescent="0.25">
      <c r="B11" s="93" t="s">
        <v>473</v>
      </c>
      <c r="C11" s="93" t="s">
        <v>469</v>
      </c>
      <c r="D11" s="93" t="s">
        <v>240</v>
      </c>
      <c r="E11" s="93">
        <v>550</v>
      </c>
      <c r="F11" s="145">
        <v>682088</v>
      </c>
      <c r="G11" s="123">
        <v>200</v>
      </c>
      <c r="H11" s="123">
        <v>15</v>
      </c>
      <c r="I11" s="146">
        <f t="shared" si="0"/>
        <v>99134.691078746109</v>
      </c>
      <c r="J11" s="147">
        <f t="shared" si="1"/>
        <v>72177.268150741351</v>
      </c>
      <c r="K11" s="148">
        <f t="shared" si="2"/>
        <v>13641.76</v>
      </c>
      <c r="L11" s="149">
        <f t="shared" si="4"/>
        <v>85819.028150741346</v>
      </c>
      <c r="M11" s="146">
        <f t="shared" si="5"/>
        <v>18271.061364730514</v>
      </c>
      <c r="N11" s="147">
        <f t="shared" si="6"/>
        <v>429.09514075370674</v>
      </c>
      <c r="O11" s="149">
        <f t="shared" si="7"/>
        <v>91.355306823652569</v>
      </c>
      <c r="P11" s="152">
        <f t="shared" si="3"/>
        <v>27.703499999999998</v>
      </c>
    </row>
    <row r="12" spans="2:16" x14ac:dyDescent="0.25">
      <c r="B12" s="93" t="s">
        <v>474</v>
      </c>
      <c r="C12" s="93" t="s">
        <v>469</v>
      </c>
      <c r="D12" s="93" t="s">
        <v>240</v>
      </c>
      <c r="E12" s="93">
        <v>720</v>
      </c>
      <c r="F12" s="145">
        <v>737261</v>
      </c>
      <c r="G12" s="123">
        <v>200</v>
      </c>
      <c r="H12" s="123">
        <v>15</v>
      </c>
      <c r="I12" s="146">
        <f t="shared" si="0"/>
        <v>107153.53661024301</v>
      </c>
      <c r="J12" s="147">
        <f t="shared" si="1"/>
        <v>78015.571149299984</v>
      </c>
      <c r="K12" s="148">
        <f t="shared" si="2"/>
        <v>14745.220000000001</v>
      </c>
      <c r="L12" s="149">
        <f t="shared" si="4"/>
        <v>92760.791149299985</v>
      </c>
      <c r="M12" s="146">
        <f t="shared" si="5"/>
        <v>19748.97809787386</v>
      </c>
      <c r="N12" s="147">
        <f t="shared" si="6"/>
        <v>463.80395574649992</v>
      </c>
      <c r="O12" s="149">
        <f t="shared" si="7"/>
        <v>98.744890489369297</v>
      </c>
      <c r="P12" s="152">
        <f t="shared" si="3"/>
        <v>36.266399999999997</v>
      </c>
    </row>
    <row r="13" spans="2:16" x14ac:dyDescent="0.25">
      <c r="B13" s="93" t="s">
        <v>475</v>
      </c>
      <c r="C13" s="93" t="s">
        <v>469</v>
      </c>
      <c r="D13" s="93" t="s">
        <v>240</v>
      </c>
      <c r="E13" s="93">
        <v>890</v>
      </c>
      <c r="F13" s="145">
        <v>907538</v>
      </c>
      <c r="G13" s="123">
        <v>200</v>
      </c>
      <c r="H13" s="123">
        <v>15</v>
      </c>
      <c r="I13" s="146">
        <f t="shared" si="0"/>
        <v>131901.6010723295</v>
      </c>
      <c r="J13" s="147">
        <f t="shared" si="1"/>
        <v>96033.962748190126</v>
      </c>
      <c r="K13" s="148">
        <f t="shared" si="2"/>
        <v>18150.760000000002</v>
      </c>
      <c r="L13" s="149">
        <f t="shared" si="4"/>
        <v>114184.72274819014</v>
      </c>
      <c r="M13" s="146">
        <f t="shared" si="5"/>
        <v>24310.180634793171</v>
      </c>
      <c r="N13" s="147">
        <f t="shared" si="6"/>
        <v>570.92361374095071</v>
      </c>
      <c r="O13" s="149">
        <f t="shared" si="7"/>
        <v>121.55090317396585</v>
      </c>
      <c r="P13" s="152">
        <f t="shared" si="3"/>
        <v>44.829299999999996</v>
      </c>
    </row>
    <row r="14" spans="2:16" x14ac:dyDescent="0.25">
      <c r="B14" s="93" t="s">
        <v>136</v>
      </c>
      <c r="C14" s="93" t="s">
        <v>482</v>
      </c>
      <c r="D14" s="93" t="s">
        <v>240</v>
      </c>
      <c r="E14" s="93">
        <v>240</v>
      </c>
      <c r="F14" s="145">
        <v>458168</v>
      </c>
      <c r="G14" s="123">
        <v>200</v>
      </c>
      <c r="H14" s="123">
        <v>15</v>
      </c>
      <c r="I14" s="146">
        <f t="shared" si="0"/>
        <v>109219.51087556536</v>
      </c>
      <c r="J14" s="147">
        <f t="shared" si="1"/>
        <v>47082.274075952308</v>
      </c>
      <c r="K14" s="148">
        <f t="shared" si="2"/>
        <v>9163.36</v>
      </c>
      <c r="L14" s="149">
        <f t="shared" si="4"/>
        <v>56245.634075952308</v>
      </c>
      <c r="M14" s="146">
        <f t="shared" si="5"/>
        <v>824.70240000000013</v>
      </c>
      <c r="N14" s="147">
        <f t="shared" si="6"/>
        <v>281.22817037976154</v>
      </c>
      <c r="O14" s="149">
        <f t="shared" si="7"/>
        <v>4.1235120000000007</v>
      </c>
      <c r="P14" s="152">
        <f t="shared" si="3"/>
        <v>12.088799999999999</v>
      </c>
    </row>
    <row r="15" spans="2:16" x14ac:dyDescent="0.25">
      <c r="B15" s="93" t="s">
        <v>477</v>
      </c>
      <c r="C15" s="93" t="s">
        <v>482</v>
      </c>
      <c r="D15" s="93" t="s">
        <v>240</v>
      </c>
      <c r="E15" s="93">
        <v>340</v>
      </c>
      <c r="F15" s="145">
        <v>662516</v>
      </c>
      <c r="G15" s="123">
        <v>200</v>
      </c>
      <c r="H15" s="123">
        <v>15</v>
      </c>
      <c r="I15" s="146">
        <f t="shared" si="0"/>
        <v>157932.62180518077</v>
      </c>
      <c r="J15" s="147">
        <f t="shared" si="1"/>
        <v>68081.489522846692</v>
      </c>
      <c r="K15" s="148">
        <f t="shared" si="2"/>
        <v>13250.32</v>
      </c>
      <c r="L15" s="149">
        <f t="shared" si="4"/>
        <v>81331.809522846685</v>
      </c>
      <c r="M15" s="146">
        <f t="shared" si="5"/>
        <v>1192.5288</v>
      </c>
      <c r="N15" s="147">
        <f t="shared" si="6"/>
        <v>406.65904761423343</v>
      </c>
      <c r="O15" s="149">
        <f t="shared" si="7"/>
        <v>5.9626440000000001</v>
      </c>
      <c r="P15" s="152">
        <f t="shared" si="3"/>
        <v>17.125799999999998</v>
      </c>
    </row>
    <row r="16" spans="2:16" x14ac:dyDescent="0.25">
      <c r="B16" s="93" t="s">
        <v>478</v>
      </c>
      <c r="C16" s="93" t="s">
        <v>482</v>
      </c>
      <c r="D16" s="93" t="s">
        <v>240</v>
      </c>
      <c r="E16" s="93">
        <v>350</v>
      </c>
      <c r="F16" s="145">
        <v>771876</v>
      </c>
      <c r="G16" s="123">
        <v>200</v>
      </c>
      <c r="H16" s="123">
        <v>15</v>
      </c>
      <c r="I16" s="146">
        <f t="shared" si="0"/>
        <v>184002.19826916739</v>
      </c>
      <c r="J16" s="147">
        <f t="shared" si="1"/>
        <v>79319.545198813008</v>
      </c>
      <c r="K16" s="148">
        <f t="shared" si="2"/>
        <v>15437.52</v>
      </c>
      <c r="L16" s="149">
        <f t="shared" si="4"/>
        <v>94757.065198813012</v>
      </c>
      <c r="M16" s="146">
        <f t="shared" si="5"/>
        <v>1389.3768000000002</v>
      </c>
      <c r="N16" s="147">
        <f t="shared" si="6"/>
        <v>473.78532599406503</v>
      </c>
      <c r="O16" s="149">
        <f t="shared" si="7"/>
        <v>6.9468840000000007</v>
      </c>
      <c r="P16" s="152">
        <f t="shared" si="3"/>
        <v>17.6295</v>
      </c>
    </row>
    <row r="17" spans="2:16" x14ac:dyDescent="0.25">
      <c r="B17" s="93" t="s">
        <v>479</v>
      </c>
      <c r="C17" s="93" t="s">
        <v>482</v>
      </c>
      <c r="D17" s="93" t="s">
        <v>240</v>
      </c>
      <c r="E17" s="93">
        <v>320</v>
      </c>
      <c r="F17" s="145">
        <v>611736</v>
      </c>
      <c r="G17" s="123">
        <v>200</v>
      </c>
      <c r="H17" s="123">
        <v>15</v>
      </c>
      <c r="I17" s="146">
        <f t="shared" si="0"/>
        <v>145827.52768629597</v>
      </c>
      <c r="J17" s="147">
        <f t="shared" si="1"/>
        <v>62863.233604544097</v>
      </c>
      <c r="K17" s="148">
        <f t="shared" si="2"/>
        <v>12234.720000000001</v>
      </c>
      <c r="L17" s="149">
        <f t="shared" si="4"/>
        <v>75097.953604544105</v>
      </c>
      <c r="M17" s="146">
        <f t="shared" si="5"/>
        <v>1101.1248000000001</v>
      </c>
      <c r="N17" s="147">
        <f t="shared" si="6"/>
        <v>375.48976802272051</v>
      </c>
      <c r="O17" s="149">
        <f t="shared" si="7"/>
        <v>5.5056240000000001</v>
      </c>
      <c r="P17" s="152">
        <f t="shared" si="3"/>
        <v>16.118399999999998</v>
      </c>
    </row>
    <row r="18" spans="2:16" x14ac:dyDescent="0.25">
      <c r="B18" s="93" t="s">
        <v>480</v>
      </c>
      <c r="C18" s="93" t="s">
        <v>482</v>
      </c>
      <c r="D18" s="93" t="s">
        <v>240</v>
      </c>
      <c r="E18" s="93">
        <v>345</v>
      </c>
      <c r="F18" s="145">
        <v>647933</v>
      </c>
      <c r="G18" s="123">
        <v>200</v>
      </c>
      <c r="H18" s="123">
        <v>15</v>
      </c>
      <c r="I18" s="146">
        <f t="shared" si="0"/>
        <v>154456.28097147268</v>
      </c>
      <c r="J18" s="147">
        <f t="shared" si="1"/>
        <v>66582.910829333356</v>
      </c>
      <c r="K18" s="148">
        <f t="shared" si="2"/>
        <v>12958.66</v>
      </c>
      <c r="L18" s="149">
        <f t="shared" si="4"/>
        <v>79541.570829333359</v>
      </c>
      <c r="M18" s="146">
        <f t="shared" si="5"/>
        <v>1166.2793999999999</v>
      </c>
      <c r="N18" s="147">
        <f t="shared" si="6"/>
        <v>397.70785414666682</v>
      </c>
      <c r="O18" s="149">
        <f t="shared" si="7"/>
        <v>5.8313969999999991</v>
      </c>
      <c r="P18" s="152">
        <f t="shared" si="3"/>
        <v>17.377649999999996</v>
      </c>
    </row>
    <row r="19" spans="2:16" x14ac:dyDescent="0.25">
      <c r="B19" s="93" t="s">
        <v>481</v>
      </c>
      <c r="C19" s="93" t="s">
        <v>482</v>
      </c>
      <c r="D19" s="93" t="s">
        <v>240</v>
      </c>
      <c r="E19" s="93">
        <v>160</v>
      </c>
      <c r="F19" s="145">
        <v>260880</v>
      </c>
      <c r="G19" s="123">
        <v>800</v>
      </c>
      <c r="H19" s="123">
        <v>20</v>
      </c>
      <c r="I19" s="146">
        <f t="shared" si="0"/>
        <v>39695.254633526769</v>
      </c>
      <c r="J19" s="147">
        <f t="shared" si="1"/>
        <v>24532.048787196261</v>
      </c>
      <c r="K19" s="148">
        <f t="shared" si="2"/>
        <v>5217.6000000000004</v>
      </c>
      <c r="L19" s="149">
        <f t="shared" si="4"/>
        <v>29749.64878719626</v>
      </c>
      <c r="M19" s="146">
        <f t="shared" si="5"/>
        <v>10017.791999999999</v>
      </c>
      <c r="N19" s="147">
        <f t="shared" si="6"/>
        <v>37.187060983995323</v>
      </c>
      <c r="O19" s="149">
        <f t="shared" si="7"/>
        <v>12.52224</v>
      </c>
      <c r="P19" s="152">
        <f t="shared" si="3"/>
        <v>8.0591999999999988</v>
      </c>
    </row>
    <row r="20" spans="2:16" x14ac:dyDescent="0.25">
      <c r="B20" s="93" t="s">
        <v>483</v>
      </c>
      <c r="C20" s="93" t="s">
        <v>482</v>
      </c>
      <c r="D20" s="93" t="s">
        <v>240</v>
      </c>
      <c r="E20" s="93">
        <v>180</v>
      </c>
      <c r="F20" s="145">
        <v>296132</v>
      </c>
      <c r="G20" s="123">
        <v>800</v>
      </c>
      <c r="H20" s="123">
        <v>20</v>
      </c>
      <c r="I20" s="146">
        <f t="shared" si="0"/>
        <v>45059.165689725349</v>
      </c>
      <c r="J20" s="147">
        <f t="shared" si="1"/>
        <v>27846.997360663925</v>
      </c>
      <c r="K20" s="148">
        <f t="shared" si="2"/>
        <v>5922.64</v>
      </c>
      <c r="L20" s="149">
        <f t="shared" si="4"/>
        <v>33769.637360663924</v>
      </c>
      <c r="M20" s="146">
        <f t="shared" si="5"/>
        <v>11371.468800000001</v>
      </c>
      <c r="N20" s="147">
        <f t="shared" si="6"/>
        <v>42.212046700829909</v>
      </c>
      <c r="O20" s="149">
        <f t="shared" si="7"/>
        <v>14.214336000000001</v>
      </c>
      <c r="P20" s="152">
        <f t="shared" si="3"/>
        <v>9.0665999999999993</v>
      </c>
    </row>
    <row r="21" spans="2:16" x14ac:dyDescent="0.25">
      <c r="B21" s="93" t="s">
        <v>484</v>
      </c>
      <c r="C21" s="93" t="s">
        <v>482</v>
      </c>
      <c r="D21" s="93" t="s">
        <v>240</v>
      </c>
      <c r="E21" s="93">
        <v>210</v>
      </c>
      <c r="F21" s="145">
        <v>343036</v>
      </c>
      <c r="G21" s="123">
        <v>800</v>
      </c>
      <c r="H21" s="123">
        <v>20</v>
      </c>
      <c r="I21" s="146">
        <f t="shared" si="0"/>
        <v>52196.034071092028</v>
      </c>
      <c r="J21" s="147">
        <f t="shared" si="1"/>
        <v>32257.650597073971</v>
      </c>
      <c r="K21" s="148">
        <f t="shared" si="2"/>
        <v>6860.72</v>
      </c>
      <c r="L21" s="149">
        <f t="shared" si="4"/>
        <v>39118.370597073968</v>
      </c>
      <c r="M21" s="146">
        <f t="shared" si="5"/>
        <v>13172.582399999999</v>
      </c>
      <c r="N21" s="147">
        <f t="shared" si="6"/>
        <v>48.897963246342464</v>
      </c>
      <c r="O21" s="149">
        <f t="shared" si="7"/>
        <v>16.465727999999999</v>
      </c>
      <c r="P21" s="152">
        <f t="shared" si="3"/>
        <v>10.5777</v>
      </c>
    </row>
    <row r="22" spans="2:16" x14ac:dyDescent="0.25">
      <c r="B22" s="93" t="s">
        <v>132</v>
      </c>
      <c r="C22" s="93" t="s">
        <v>482</v>
      </c>
      <c r="D22" s="93" t="s">
        <v>240</v>
      </c>
      <c r="E22" s="93">
        <v>235</v>
      </c>
      <c r="F22" s="145">
        <v>371142</v>
      </c>
      <c r="G22" s="123">
        <v>800</v>
      </c>
      <c r="H22" s="123">
        <v>20</v>
      </c>
      <c r="I22" s="146">
        <f t="shared" si="0"/>
        <v>56472.616510259089</v>
      </c>
      <c r="J22" s="147">
        <f t="shared" si="1"/>
        <v>34900.619637295291</v>
      </c>
      <c r="K22" s="148">
        <f t="shared" si="2"/>
        <v>7422.84</v>
      </c>
      <c r="L22" s="149">
        <f t="shared" si="4"/>
        <v>42323.459637295295</v>
      </c>
      <c r="M22" s="146">
        <f t="shared" si="5"/>
        <v>14251.852799999999</v>
      </c>
      <c r="N22" s="147">
        <f t="shared" si="6"/>
        <v>52.904324546619115</v>
      </c>
      <c r="O22" s="149">
        <f t="shared" si="7"/>
        <v>17.814815999999997</v>
      </c>
      <c r="P22" s="152">
        <f t="shared" si="3"/>
        <v>11.836949999999998</v>
      </c>
    </row>
    <row r="23" spans="2:16" x14ac:dyDescent="0.25">
      <c r="B23" s="93" t="s">
        <v>485</v>
      </c>
      <c r="C23" s="93" t="s">
        <v>482</v>
      </c>
      <c r="D23" s="93" t="s">
        <v>240</v>
      </c>
      <c r="E23" s="93">
        <v>260</v>
      </c>
      <c r="F23" s="145">
        <v>418111</v>
      </c>
      <c r="G23" s="123">
        <v>800</v>
      </c>
      <c r="H23" s="123">
        <v>20</v>
      </c>
      <c r="I23" s="146">
        <f t="shared" si="0"/>
        <v>63619.375230291742</v>
      </c>
      <c r="J23" s="147">
        <f t="shared" si="1"/>
        <v>39317.385198035176</v>
      </c>
      <c r="K23" s="148">
        <f t="shared" si="2"/>
        <v>8362.2199999999993</v>
      </c>
      <c r="L23" s="149">
        <f t="shared" si="4"/>
        <v>47679.605198035177</v>
      </c>
      <c r="M23" s="146">
        <f t="shared" si="5"/>
        <v>16055.4624</v>
      </c>
      <c r="N23" s="147">
        <f t="shared" si="6"/>
        <v>59.59950649754397</v>
      </c>
      <c r="O23" s="149">
        <f t="shared" si="7"/>
        <v>20.069327999999999</v>
      </c>
      <c r="P23" s="152">
        <f t="shared" si="3"/>
        <v>13.0962</v>
      </c>
    </row>
    <row r="24" spans="2:16" x14ac:dyDescent="0.25">
      <c r="B24" s="93" t="s">
        <v>129</v>
      </c>
      <c r="C24" s="93" t="s">
        <v>482</v>
      </c>
      <c r="D24" s="93" t="s">
        <v>240</v>
      </c>
      <c r="E24" s="93">
        <v>290</v>
      </c>
      <c r="F24" s="145">
        <v>459163</v>
      </c>
      <c r="G24" s="123">
        <v>800</v>
      </c>
      <c r="H24" s="123">
        <v>20</v>
      </c>
      <c r="I24" s="146">
        <f t="shared" si="0"/>
        <v>69865.80881360799</v>
      </c>
      <c r="J24" s="147">
        <f t="shared" si="1"/>
        <v>43177.741173242088</v>
      </c>
      <c r="K24" s="148">
        <f t="shared" si="2"/>
        <v>9183.26</v>
      </c>
      <c r="L24" s="149">
        <f t="shared" si="4"/>
        <v>52361.00117324209</v>
      </c>
      <c r="M24" s="146">
        <f t="shared" si="5"/>
        <v>17631.859199999999</v>
      </c>
      <c r="N24" s="147">
        <f t="shared" si="6"/>
        <v>65.451251466552606</v>
      </c>
      <c r="O24" s="149">
        <f t="shared" si="7"/>
        <v>22.039823999999999</v>
      </c>
      <c r="P24" s="152">
        <f t="shared" si="3"/>
        <v>14.607299999999999</v>
      </c>
    </row>
    <row r="25" spans="2:16" x14ac:dyDescent="0.25">
      <c r="B25" s="93" t="s">
        <v>486</v>
      </c>
      <c r="C25" s="93" t="s">
        <v>482</v>
      </c>
      <c r="D25" s="93" t="s">
        <v>240</v>
      </c>
      <c r="E25" s="93">
        <v>310</v>
      </c>
      <c r="F25" s="145">
        <v>475839</v>
      </c>
      <c r="G25" s="123">
        <v>800</v>
      </c>
      <c r="H25" s="123">
        <v>20</v>
      </c>
      <c r="I25" s="146">
        <f t="shared" si="0"/>
        <v>72403.213238127661</v>
      </c>
      <c r="J25" s="147">
        <f t="shared" si="1"/>
        <v>44745.881489001389</v>
      </c>
      <c r="K25" s="148">
        <f t="shared" si="2"/>
        <v>9516.7800000000007</v>
      </c>
      <c r="L25" s="149">
        <f t="shared" si="4"/>
        <v>54262.661489001388</v>
      </c>
      <c r="M25" s="146">
        <f t="shared" si="5"/>
        <v>18272.2176</v>
      </c>
      <c r="N25" s="147">
        <f t="shared" si="6"/>
        <v>67.828326861251739</v>
      </c>
      <c r="O25" s="149">
        <f t="shared" si="7"/>
        <v>22.840271999999999</v>
      </c>
      <c r="P25" s="152">
        <f t="shared" si="3"/>
        <v>15.614699999999997</v>
      </c>
    </row>
    <row r="26" spans="2:16" x14ac:dyDescent="0.25">
      <c r="B26" s="93" t="s">
        <v>487</v>
      </c>
      <c r="C26" s="93" t="s">
        <v>482</v>
      </c>
      <c r="D26" s="93" t="s">
        <v>240</v>
      </c>
      <c r="E26" s="93">
        <v>330</v>
      </c>
      <c r="F26" s="145">
        <v>543960</v>
      </c>
      <c r="G26" s="123">
        <v>800</v>
      </c>
      <c r="H26" s="123">
        <v>20</v>
      </c>
      <c r="I26" s="146">
        <f t="shared" si="0"/>
        <v>82768.44031912458</v>
      </c>
      <c r="J26" s="147">
        <f t="shared" si="1"/>
        <v>51151.691422429009</v>
      </c>
      <c r="K26" s="148">
        <f t="shared" si="2"/>
        <v>10879.2</v>
      </c>
      <c r="L26" s="149">
        <f t="shared" si="4"/>
        <v>62030.891422429006</v>
      </c>
      <c r="M26" s="146">
        <f t="shared" si="5"/>
        <v>20888.064000000002</v>
      </c>
      <c r="N26" s="147">
        <f t="shared" si="6"/>
        <v>77.538614278036263</v>
      </c>
      <c r="O26" s="149">
        <f t="shared" si="7"/>
        <v>26.110080000000004</v>
      </c>
      <c r="P26" s="152">
        <f t="shared" si="3"/>
        <v>16.622099999999996</v>
      </c>
    </row>
    <row r="27" spans="2:16" x14ac:dyDescent="0.25">
      <c r="B27" s="93" t="s">
        <v>488</v>
      </c>
      <c r="C27" s="93" t="s">
        <v>482</v>
      </c>
      <c r="D27" s="93" t="s">
        <v>240</v>
      </c>
      <c r="E27" s="93">
        <v>355</v>
      </c>
      <c r="F27" s="145">
        <v>564449</v>
      </c>
      <c r="G27" s="123">
        <v>800</v>
      </c>
      <c r="H27" s="123">
        <v>20</v>
      </c>
      <c r="I27" s="146">
        <f t="shared" si="0"/>
        <v>85886.027225695914</v>
      </c>
      <c r="J27" s="147">
        <f t="shared" si="1"/>
        <v>53078.390086952408</v>
      </c>
      <c r="K27" s="148">
        <f t="shared" si="2"/>
        <v>11288.98</v>
      </c>
      <c r="L27" s="149">
        <f t="shared" si="4"/>
        <v>64367.370086952404</v>
      </c>
      <c r="M27" s="146">
        <f t="shared" si="5"/>
        <v>21674.8416</v>
      </c>
      <c r="N27" s="147">
        <f t="shared" si="6"/>
        <v>80.459212608690507</v>
      </c>
      <c r="O27" s="149">
        <f t="shared" si="7"/>
        <v>27.093551999999999</v>
      </c>
      <c r="P27" s="152">
        <f t="shared" si="3"/>
        <v>17.881349999999998</v>
      </c>
    </row>
    <row r="28" spans="2:16" x14ac:dyDescent="0.25">
      <c r="B28" s="93" t="s">
        <v>140</v>
      </c>
      <c r="C28" s="93" t="s">
        <v>482</v>
      </c>
      <c r="D28" s="93" t="s">
        <v>240</v>
      </c>
      <c r="E28" s="93">
        <v>390</v>
      </c>
      <c r="F28" s="145">
        <v>614052</v>
      </c>
      <c r="G28" s="123">
        <v>800</v>
      </c>
      <c r="H28" s="123">
        <v>20</v>
      </c>
      <c r="I28" s="146">
        <f t="shared" si="0"/>
        <v>93433.5729002851</v>
      </c>
      <c r="J28" s="147">
        <f t="shared" si="1"/>
        <v>57742.845836689048</v>
      </c>
      <c r="K28" s="148">
        <f t="shared" si="2"/>
        <v>12281.04</v>
      </c>
      <c r="L28" s="149">
        <f t="shared" si="4"/>
        <v>70023.885836689049</v>
      </c>
      <c r="M28" s="146">
        <f t="shared" si="5"/>
        <v>23579.596799999999</v>
      </c>
      <c r="N28" s="147">
        <f t="shared" si="6"/>
        <v>87.529857295861305</v>
      </c>
      <c r="O28" s="149">
        <f t="shared" si="7"/>
        <v>29.474495999999998</v>
      </c>
      <c r="P28" s="152">
        <f t="shared" si="3"/>
        <v>19.644299999999998</v>
      </c>
    </row>
    <row r="29" spans="2:16" x14ac:dyDescent="0.25">
      <c r="B29" s="139" t="s">
        <v>489</v>
      </c>
      <c r="C29" s="139" t="s">
        <v>482</v>
      </c>
      <c r="D29" s="139" t="s">
        <v>240</v>
      </c>
      <c r="E29" s="139">
        <v>415</v>
      </c>
      <c r="F29" s="153">
        <v>633477</v>
      </c>
      <c r="G29" s="154">
        <v>800</v>
      </c>
      <c r="H29" s="154">
        <v>20</v>
      </c>
      <c r="I29" s="155">
        <f t="shared" si="0"/>
        <v>96389.262570847262</v>
      </c>
      <c r="J29" s="156">
        <f t="shared" si="1"/>
        <v>59569.490453720973</v>
      </c>
      <c r="K29" s="157">
        <f t="shared" si="2"/>
        <v>12669.54</v>
      </c>
      <c r="L29" s="158">
        <f t="shared" si="4"/>
        <v>72239.030453720974</v>
      </c>
      <c r="M29" s="155">
        <f t="shared" si="5"/>
        <v>24325.516800000001</v>
      </c>
      <c r="N29" s="156">
        <f t="shared" si="6"/>
        <v>90.298788067151222</v>
      </c>
      <c r="O29" s="158">
        <f t="shared" si="7"/>
        <v>30.406896000000003</v>
      </c>
      <c r="P29" s="159">
        <f t="shared" si="3"/>
        <v>20.903549999999999</v>
      </c>
    </row>
    <row r="30" spans="2:16" x14ac:dyDescent="0.25">
      <c r="D30" s="45"/>
      <c r="F30" s="44"/>
      <c r="G30" s="44"/>
      <c r="H30" s="44"/>
      <c r="I30" s="44"/>
      <c r="J30" s="44"/>
      <c r="K30" s="44"/>
      <c r="L30" s="44"/>
      <c r="M30" s="44"/>
      <c r="N30" s="44"/>
      <c r="O30" s="44"/>
      <c r="P30" s="44"/>
    </row>
    <row r="31" spans="2:16" x14ac:dyDescent="0.25">
      <c r="B31" s="21" t="s">
        <v>490</v>
      </c>
      <c r="C31" s="21"/>
      <c r="D31" s="66"/>
      <c r="E31" s="31"/>
      <c r="F31" s="67"/>
      <c r="G31" s="67"/>
      <c r="H31" s="67"/>
      <c r="I31" s="68"/>
      <c r="J31" s="260" t="s">
        <v>453</v>
      </c>
      <c r="K31" s="261"/>
      <c r="L31" s="261"/>
      <c r="M31" s="261"/>
      <c r="N31" s="260" t="s">
        <v>454</v>
      </c>
      <c r="O31" s="261"/>
      <c r="P31" s="45"/>
    </row>
    <row r="32" spans="2:16" ht="45" x14ac:dyDescent="0.25">
      <c r="B32" s="30" t="s">
        <v>455</v>
      </c>
      <c r="C32" s="30" t="s">
        <v>456</v>
      </c>
      <c r="D32" s="71" t="s">
        <v>491</v>
      </c>
      <c r="E32" s="71" t="s">
        <v>492</v>
      </c>
      <c r="F32" s="64" t="s">
        <v>458</v>
      </c>
      <c r="G32" s="63" t="s">
        <v>459</v>
      </c>
      <c r="H32" s="63" t="s">
        <v>460</v>
      </c>
      <c r="I32" s="64" t="s">
        <v>461</v>
      </c>
      <c r="J32" s="65" t="s">
        <v>462</v>
      </c>
      <c r="K32" s="64" t="s">
        <v>493</v>
      </c>
      <c r="L32" s="63" t="s">
        <v>464</v>
      </c>
      <c r="M32" s="63" t="s">
        <v>465</v>
      </c>
      <c r="N32" s="65" t="s">
        <v>466</v>
      </c>
      <c r="O32" s="64" t="s">
        <v>467</v>
      </c>
      <c r="P32" s="43"/>
    </row>
    <row r="33" spans="2:15" x14ac:dyDescent="0.25">
      <c r="B33" s="93" t="s">
        <v>494</v>
      </c>
      <c r="C33" s="93" t="s">
        <v>495</v>
      </c>
      <c r="D33" s="141">
        <v>15</v>
      </c>
      <c r="E33" s="160">
        <v>3</v>
      </c>
      <c r="F33" s="161">
        <v>80925</v>
      </c>
      <c r="G33" s="93">
        <v>100</v>
      </c>
      <c r="H33" s="93">
        <v>20</v>
      </c>
      <c r="I33" s="146">
        <f t="shared" ref="I33:I38" si="8">F33*(VLOOKUP(C33,MachineCoefficientTable,2,FALSE)-(VLOOKUP(C33,MachineCoefficientTable,3,FALSE)*(H33^0.5))-(VLOOKUP(C33,MachineCoefficientTable,4,FALSE)*(G33^0.5)))^2</f>
        <v>11935.091203080921</v>
      </c>
      <c r="J33" s="147">
        <f t="shared" ref="J33:J38" si="9">IF(ISBLANK(B33),"",PMT(InterestRate_Machinery,H33,-F33,I33,1))</f>
        <v>7617.1136941263803</v>
      </c>
      <c r="K33" s="162">
        <f>F33*0.02</f>
        <v>1618.5</v>
      </c>
      <c r="L33" s="149">
        <f t="shared" ref="L33:L72" si="10">J33+K33</f>
        <v>9235.6136941263794</v>
      </c>
      <c r="M33" s="146">
        <f t="shared" ref="M33:M38" si="11">(VLOOKUP(C33,MachineCoefficientTable,5,FALSE)*F33*((G33*H33)/1000)^VLOOKUP(C33,MachineCoefficientTable,6,FALSE))/H33</f>
        <v>2789.6501261982457</v>
      </c>
      <c r="N33" s="147">
        <f t="shared" ref="N33:N72" si="12">L33/G33</f>
        <v>92.356136941263799</v>
      </c>
      <c r="O33" s="149">
        <f t="shared" ref="O33:O72" si="13">M33/G33</f>
        <v>27.896501261982458</v>
      </c>
    </row>
    <row r="34" spans="2:15" x14ac:dyDescent="0.25">
      <c r="B34" s="93" t="s">
        <v>496</v>
      </c>
      <c r="C34" s="93" t="s">
        <v>495</v>
      </c>
      <c r="D34" s="141">
        <v>20</v>
      </c>
      <c r="E34" s="160">
        <v>3</v>
      </c>
      <c r="F34" s="161">
        <v>116974</v>
      </c>
      <c r="G34" s="93">
        <v>100</v>
      </c>
      <c r="H34" s="93">
        <v>20</v>
      </c>
      <c r="I34" s="146">
        <f t="shared" si="8"/>
        <v>17251.718979168214</v>
      </c>
      <c r="J34" s="147">
        <f t="shared" si="9"/>
        <v>11010.247232088219</v>
      </c>
      <c r="K34" s="162">
        <f t="shared" ref="K34:K72" si="14">F34*0.02</f>
        <v>2339.48</v>
      </c>
      <c r="L34" s="149">
        <f t="shared" si="10"/>
        <v>13349.727232088218</v>
      </c>
      <c r="M34" s="146">
        <f t="shared" si="11"/>
        <v>4032.3328249850301</v>
      </c>
      <c r="N34" s="147">
        <f t="shared" si="12"/>
        <v>133.49727232088219</v>
      </c>
      <c r="O34" s="149">
        <f t="shared" si="13"/>
        <v>40.323328249850299</v>
      </c>
    </row>
    <row r="35" spans="2:15" ht="15" customHeight="1" x14ac:dyDescent="0.25">
      <c r="B35" s="93" t="s">
        <v>145</v>
      </c>
      <c r="C35" s="93" t="s">
        <v>495</v>
      </c>
      <c r="D35" s="141">
        <v>30</v>
      </c>
      <c r="E35" s="160">
        <v>3</v>
      </c>
      <c r="F35" s="161">
        <v>177387</v>
      </c>
      <c r="G35" s="93">
        <v>100</v>
      </c>
      <c r="H35" s="93">
        <v>20</v>
      </c>
      <c r="I35" s="146">
        <f t="shared" si="8"/>
        <v>26161.631427135191</v>
      </c>
      <c r="J35" s="147">
        <f t="shared" si="9"/>
        <v>16696.656742168627</v>
      </c>
      <c r="K35" s="162">
        <f t="shared" si="14"/>
        <v>3547.7400000000002</v>
      </c>
      <c r="L35" s="149">
        <f t="shared" si="10"/>
        <v>20244.396742168628</v>
      </c>
      <c r="M35" s="146">
        <f t="shared" si="11"/>
        <v>6114.8923934004106</v>
      </c>
      <c r="N35" s="147">
        <f t="shared" si="12"/>
        <v>202.4439674216863</v>
      </c>
      <c r="O35" s="149">
        <f t="shared" si="13"/>
        <v>61.148923934004102</v>
      </c>
    </row>
    <row r="36" spans="2:15" x14ac:dyDescent="0.25">
      <c r="B36" s="93" t="s">
        <v>497</v>
      </c>
      <c r="C36" s="93" t="s">
        <v>495</v>
      </c>
      <c r="D36" s="141">
        <v>20</v>
      </c>
      <c r="E36" s="160">
        <v>3</v>
      </c>
      <c r="F36" s="161">
        <v>191197</v>
      </c>
      <c r="G36" s="93">
        <v>100</v>
      </c>
      <c r="H36" s="93">
        <v>20</v>
      </c>
      <c r="I36" s="146">
        <f t="shared" si="8"/>
        <v>28198.376679091292</v>
      </c>
      <c r="J36" s="147">
        <f t="shared" si="9"/>
        <v>17996.531195253399</v>
      </c>
      <c r="K36" s="162">
        <f t="shared" si="14"/>
        <v>3823.94</v>
      </c>
      <c r="L36" s="149">
        <f t="shared" si="10"/>
        <v>21820.471195253398</v>
      </c>
      <c r="M36" s="146">
        <f t="shared" si="11"/>
        <v>6590.9513151526216</v>
      </c>
      <c r="N36" s="147">
        <f t="shared" si="12"/>
        <v>218.20471195253398</v>
      </c>
      <c r="O36" s="149">
        <f t="shared" si="13"/>
        <v>65.909513151526212</v>
      </c>
    </row>
    <row r="37" spans="2:15" x14ac:dyDescent="0.25">
      <c r="B37" s="93" t="s">
        <v>498</v>
      </c>
      <c r="C37" s="93" t="s">
        <v>495</v>
      </c>
      <c r="D37" s="141">
        <v>25</v>
      </c>
      <c r="E37" s="160">
        <v>3</v>
      </c>
      <c r="F37" s="161">
        <v>221664</v>
      </c>
      <c r="G37" s="93">
        <v>100</v>
      </c>
      <c r="H37" s="93">
        <v>20</v>
      </c>
      <c r="I37" s="146">
        <f t="shared" si="8"/>
        <v>32691.752319304658</v>
      </c>
      <c r="J37" s="147">
        <f t="shared" si="9"/>
        <v>20864.255667529564</v>
      </c>
      <c r="K37" s="162">
        <f t="shared" si="14"/>
        <v>4433.28</v>
      </c>
      <c r="L37" s="149">
        <f t="shared" si="10"/>
        <v>25297.535667529562</v>
      </c>
      <c r="M37" s="146">
        <f t="shared" si="11"/>
        <v>7641.2110667112502</v>
      </c>
      <c r="N37" s="147">
        <f t="shared" si="12"/>
        <v>252.97535667529561</v>
      </c>
      <c r="O37" s="149">
        <f t="shared" si="13"/>
        <v>76.412110667112501</v>
      </c>
    </row>
    <row r="38" spans="2:15" x14ac:dyDescent="0.25">
      <c r="B38" s="93" t="s">
        <v>499</v>
      </c>
      <c r="C38" s="93" t="s">
        <v>495</v>
      </c>
      <c r="D38" s="141">
        <v>30</v>
      </c>
      <c r="E38" s="160">
        <v>3</v>
      </c>
      <c r="F38" s="161">
        <v>263634</v>
      </c>
      <c r="G38" s="93">
        <v>100</v>
      </c>
      <c r="H38" s="93">
        <v>20</v>
      </c>
      <c r="I38" s="146">
        <f t="shared" si="8"/>
        <v>38881.629091541989</v>
      </c>
      <c r="J38" s="147">
        <f t="shared" si="9"/>
        <v>24814.706847541725</v>
      </c>
      <c r="K38" s="162">
        <f t="shared" si="14"/>
        <v>5272.68</v>
      </c>
      <c r="L38" s="149">
        <f t="shared" si="10"/>
        <v>30087.386847541726</v>
      </c>
      <c r="M38" s="146">
        <f t="shared" si="11"/>
        <v>9088.002735497661</v>
      </c>
      <c r="N38" s="147">
        <f t="shared" si="12"/>
        <v>300.87386847541728</v>
      </c>
      <c r="O38" s="149">
        <f t="shared" si="13"/>
        <v>90.880027354976605</v>
      </c>
    </row>
    <row r="39" spans="2:15" x14ac:dyDescent="0.25">
      <c r="B39" s="93" t="s">
        <v>500</v>
      </c>
      <c r="C39" s="93" t="s">
        <v>501</v>
      </c>
      <c r="D39" s="141">
        <v>15</v>
      </c>
      <c r="E39" s="160">
        <v>6</v>
      </c>
      <c r="F39" s="163">
        <v>22000</v>
      </c>
      <c r="G39" s="93">
        <v>100</v>
      </c>
      <c r="H39" s="93">
        <v>20</v>
      </c>
      <c r="I39" s="146">
        <f t="shared" ref="I39:I70" si="15">F39*(VLOOKUP(C39,MachineCoefficientTable,2,FALSE)-(VLOOKUP(C39,MachineCoefficientTable,3,FALSE)*(H39^0.5))-(VLOOKUP(C39,MachineCoefficientTable,4,FALSE)*(G39^0.5)))^2</f>
        <v>4387.7949800224751</v>
      </c>
      <c r="J39" s="147">
        <f t="shared" ref="J39:J70" si="16">IF(ISBLANK(B39),"",PMT(InterestRate_Machinery,H39,-F39,I39,1))</f>
        <v>2048.7992738222629</v>
      </c>
      <c r="K39" s="162">
        <f t="shared" ref="K39:K70" si="17">F39*0.02</f>
        <v>440</v>
      </c>
      <c r="L39" s="149">
        <f t="shared" ref="L39:L70" si="18">J39+K39</f>
        <v>2488.7992738222629</v>
      </c>
      <c r="M39" s="146">
        <f t="shared" ref="M39:M70" si="19">(VLOOKUP(C39,MachineCoefficientTable,5,FALSE)*F39*((G39*H39)/1000)^VLOOKUP(C39,MachineCoefficientTable,6,FALSE))/H39</f>
        <v>433.36283349741052</v>
      </c>
      <c r="N39" s="147">
        <f t="shared" ref="N39:N70" si="20">L39/G39</f>
        <v>24.887992738222628</v>
      </c>
      <c r="O39" s="149">
        <f t="shared" ref="O39:O70" si="21">M39/G39</f>
        <v>4.3336283349741054</v>
      </c>
    </row>
    <row r="40" spans="2:15" x14ac:dyDescent="0.25">
      <c r="B40" s="93" t="s">
        <v>502</v>
      </c>
      <c r="C40" s="93" t="s">
        <v>501</v>
      </c>
      <c r="D40" s="141">
        <v>20</v>
      </c>
      <c r="E40" s="160">
        <v>6</v>
      </c>
      <c r="F40" s="163">
        <v>25500</v>
      </c>
      <c r="G40" s="93">
        <v>100</v>
      </c>
      <c r="H40" s="93">
        <v>20</v>
      </c>
      <c r="I40" s="146">
        <f t="shared" si="15"/>
        <v>5085.8532722987784</v>
      </c>
      <c r="J40" s="147">
        <f t="shared" si="16"/>
        <v>2374.7446128394404</v>
      </c>
      <c r="K40" s="162">
        <f t="shared" si="17"/>
        <v>510</v>
      </c>
      <c r="L40" s="149">
        <f t="shared" si="18"/>
        <v>2884.7446128394404</v>
      </c>
      <c r="M40" s="146">
        <f t="shared" si="19"/>
        <v>502.30692064472589</v>
      </c>
      <c r="N40" s="147">
        <f t="shared" si="20"/>
        <v>28.847446128394402</v>
      </c>
      <c r="O40" s="149">
        <f t="shared" si="21"/>
        <v>5.0230692064472588</v>
      </c>
    </row>
    <row r="41" spans="2:15" x14ac:dyDescent="0.25">
      <c r="B41" s="93" t="s">
        <v>503</v>
      </c>
      <c r="C41" s="93" t="s">
        <v>501</v>
      </c>
      <c r="D41" s="141">
        <v>30</v>
      </c>
      <c r="E41" s="160">
        <v>6</v>
      </c>
      <c r="F41" s="163">
        <v>34100</v>
      </c>
      <c r="G41" s="93">
        <v>100</v>
      </c>
      <c r="H41" s="93">
        <v>20</v>
      </c>
      <c r="I41" s="146">
        <f t="shared" si="15"/>
        <v>6801.0822190348372</v>
      </c>
      <c r="J41" s="147">
        <f t="shared" si="16"/>
        <v>3175.6388744245064</v>
      </c>
      <c r="K41" s="162">
        <f t="shared" si="17"/>
        <v>682</v>
      </c>
      <c r="L41" s="149">
        <f t="shared" si="18"/>
        <v>3857.6388744245064</v>
      </c>
      <c r="M41" s="146">
        <f t="shared" si="19"/>
        <v>671.71239192098642</v>
      </c>
      <c r="N41" s="147">
        <f t="shared" si="20"/>
        <v>38.576388744245065</v>
      </c>
      <c r="O41" s="149">
        <f t="shared" si="21"/>
        <v>6.7171239192098646</v>
      </c>
    </row>
    <row r="42" spans="2:15" x14ac:dyDescent="0.25">
      <c r="B42" s="93" t="s">
        <v>504</v>
      </c>
      <c r="C42" s="93" t="s">
        <v>505</v>
      </c>
      <c r="D42" s="141">
        <v>12</v>
      </c>
      <c r="E42" s="160">
        <v>5.5</v>
      </c>
      <c r="F42" s="163">
        <v>85621</v>
      </c>
      <c r="G42" s="93">
        <v>100</v>
      </c>
      <c r="H42" s="93">
        <v>20</v>
      </c>
      <c r="I42" s="146">
        <f t="shared" si="15"/>
        <v>13635.393415756218</v>
      </c>
      <c r="J42" s="147">
        <f t="shared" si="16"/>
        <v>8039.7659392059932</v>
      </c>
      <c r="K42" s="162">
        <f t="shared" si="17"/>
        <v>1712.42</v>
      </c>
      <c r="L42" s="149">
        <f t="shared" si="18"/>
        <v>9752.1859392059923</v>
      </c>
      <c r="M42" s="146">
        <f t="shared" si="19"/>
        <v>2503.6510474230204</v>
      </c>
      <c r="N42" s="147">
        <f t="shared" si="20"/>
        <v>97.521859392059923</v>
      </c>
      <c r="O42" s="149">
        <f t="shared" si="21"/>
        <v>25.036510474230205</v>
      </c>
    </row>
    <row r="43" spans="2:15" x14ac:dyDescent="0.25">
      <c r="B43" s="93" t="s">
        <v>130</v>
      </c>
      <c r="C43" s="93" t="s">
        <v>505</v>
      </c>
      <c r="D43" s="141">
        <v>20</v>
      </c>
      <c r="E43" s="160">
        <v>5.5</v>
      </c>
      <c r="F43" s="163">
        <v>90784</v>
      </c>
      <c r="G43" s="93">
        <v>100</v>
      </c>
      <c r="H43" s="93">
        <v>20</v>
      </c>
      <c r="I43" s="146">
        <f t="shared" si="15"/>
        <v>14457.61619060759</v>
      </c>
      <c r="J43" s="147">
        <f t="shared" si="16"/>
        <v>8524.5688677412891</v>
      </c>
      <c r="K43" s="162">
        <f t="shared" si="17"/>
        <v>1815.68</v>
      </c>
      <c r="L43" s="149">
        <f t="shared" si="18"/>
        <v>10340.248867741289</v>
      </c>
      <c r="M43" s="146">
        <f t="shared" si="19"/>
        <v>2654.6227758289615</v>
      </c>
      <c r="N43" s="147">
        <f t="shared" si="20"/>
        <v>103.40248867741289</v>
      </c>
      <c r="O43" s="149">
        <f t="shared" si="21"/>
        <v>26.546227758289614</v>
      </c>
    </row>
    <row r="44" spans="2:15" x14ac:dyDescent="0.25">
      <c r="B44" s="93" t="s">
        <v>506</v>
      </c>
      <c r="C44" s="93" t="s">
        <v>505</v>
      </c>
      <c r="D44" s="141">
        <v>28</v>
      </c>
      <c r="E44" s="160">
        <v>5.5</v>
      </c>
      <c r="F44" s="163">
        <v>115308</v>
      </c>
      <c r="G44" s="93">
        <v>100</v>
      </c>
      <c r="H44" s="93">
        <v>20</v>
      </c>
      <c r="I44" s="146">
        <f t="shared" si="15"/>
        <v>18363.134557924084</v>
      </c>
      <c r="J44" s="147">
        <f t="shared" si="16"/>
        <v>10827.359303418141</v>
      </c>
      <c r="K44" s="162">
        <f t="shared" si="17"/>
        <v>2306.16</v>
      </c>
      <c r="L44" s="149">
        <f t="shared" si="18"/>
        <v>13133.519303418141</v>
      </c>
      <c r="M44" s="146">
        <f t="shared" si="19"/>
        <v>3371.7311754856128</v>
      </c>
      <c r="N44" s="147">
        <f t="shared" si="20"/>
        <v>131.3351930341814</v>
      </c>
      <c r="O44" s="149">
        <f t="shared" si="21"/>
        <v>33.717311754856127</v>
      </c>
    </row>
    <row r="45" spans="2:15" x14ac:dyDescent="0.25">
      <c r="B45" s="93" t="s">
        <v>507</v>
      </c>
      <c r="C45" s="93" t="s">
        <v>508</v>
      </c>
      <c r="D45" s="141">
        <v>15</v>
      </c>
      <c r="E45" s="160">
        <v>5.5</v>
      </c>
      <c r="F45" s="163">
        <v>18974</v>
      </c>
      <c r="G45" s="93">
        <v>75</v>
      </c>
      <c r="H45" s="93">
        <v>20</v>
      </c>
      <c r="I45" s="146">
        <f t="shared" si="15"/>
        <v>3784.2737250430205</v>
      </c>
      <c r="J45" s="147">
        <f t="shared" si="16"/>
        <v>1766.9962464319824</v>
      </c>
      <c r="K45" s="162">
        <f t="shared" si="17"/>
        <v>379.48</v>
      </c>
      <c r="L45" s="149">
        <f t="shared" si="18"/>
        <v>2146.4762464319824</v>
      </c>
      <c r="M45" s="146">
        <f t="shared" si="19"/>
        <v>1012.4838085961834</v>
      </c>
      <c r="N45" s="147">
        <f t="shared" si="20"/>
        <v>28.619683285759766</v>
      </c>
      <c r="O45" s="149">
        <f t="shared" si="21"/>
        <v>13.499784114615778</v>
      </c>
    </row>
    <row r="46" spans="2:15" x14ac:dyDescent="0.25">
      <c r="B46" s="93" t="s">
        <v>509</v>
      </c>
      <c r="C46" s="93" t="s">
        <v>508</v>
      </c>
      <c r="D46" s="141">
        <v>15</v>
      </c>
      <c r="E46" s="160">
        <v>5.5</v>
      </c>
      <c r="F46" s="163">
        <v>26449</v>
      </c>
      <c r="G46" s="93">
        <v>75</v>
      </c>
      <c r="H46" s="93">
        <v>20</v>
      </c>
      <c r="I46" s="146">
        <f t="shared" si="15"/>
        <v>5275.1267921188391</v>
      </c>
      <c r="J46" s="147">
        <f t="shared" si="16"/>
        <v>2463.122363332955</v>
      </c>
      <c r="K46" s="162">
        <f t="shared" si="17"/>
        <v>528.98</v>
      </c>
      <c r="L46" s="149">
        <f t="shared" si="18"/>
        <v>2992.1023633329551</v>
      </c>
      <c r="M46" s="146">
        <f t="shared" si="19"/>
        <v>1411.3620877811979</v>
      </c>
      <c r="N46" s="147">
        <f t="shared" si="20"/>
        <v>39.894698177772732</v>
      </c>
      <c r="O46" s="149">
        <f t="shared" si="21"/>
        <v>18.818161170415973</v>
      </c>
    </row>
    <row r="47" spans="2:15" x14ac:dyDescent="0.25">
      <c r="B47" s="93" t="s">
        <v>510</v>
      </c>
      <c r="C47" s="93" t="s">
        <v>508</v>
      </c>
      <c r="D47" s="141">
        <v>15</v>
      </c>
      <c r="E47" s="160">
        <v>5.5</v>
      </c>
      <c r="F47" s="163">
        <v>20157</v>
      </c>
      <c r="G47" s="93">
        <v>75</v>
      </c>
      <c r="H47" s="93">
        <v>20</v>
      </c>
      <c r="I47" s="146">
        <f t="shared" si="15"/>
        <v>4020.217427832411</v>
      </c>
      <c r="J47" s="147">
        <f t="shared" si="16"/>
        <v>1877.1657710197885</v>
      </c>
      <c r="K47" s="162">
        <f t="shared" si="17"/>
        <v>403.14</v>
      </c>
      <c r="L47" s="149">
        <f t="shared" si="18"/>
        <v>2280.3057710197886</v>
      </c>
      <c r="M47" s="146">
        <f t="shared" si="19"/>
        <v>1075.6106319106814</v>
      </c>
      <c r="N47" s="147">
        <f t="shared" si="20"/>
        <v>30.404076946930516</v>
      </c>
      <c r="O47" s="149">
        <f t="shared" si="21"/>
        <v>14.341475092142419</v>
      </c>
    </row>
    <row r="48" spans="2:15" x14ac:dyDescent="0.25">
      <c r="B48" s="93" t="s">
        <v>511</v>
      </c>
      <c r="C48" s="93" t="s">
        <v>508</v>
      </c>
      <c r="D48" s="141">
        <v>15</v>
      </c>
      <c r="E48" s="160">
        <v>5.5</v>
      </c>
      <c r="F48" s="163">
        <v>27632</v>
      </c>
      <c r="G48" s="93">
        <v>75</v>
      </c>
      <c r="H48" s="93">
        <v>20</v>
      </c>
      <c r="I48" s="146">
        <f t="shared" si="15"/>
        <v>5511.0704949082292</v>
      </c>
      <c r="J48" s="147">
        <f t="shared" si="16"/>
        <v>2573.2918879207618</v>
      </c>
      <c r="K48" s="162">
        <f t="shared" si="17"/>
        <v>552.64</v>
      </c>
      <c r="L48" s="149">
        <f t="shared" si="18"/>
        <v>3125.9318879207617</v>
      </c>
      <c r="M48" s="146">
        <f t="shared" si="19"/>
        <v>1474.488911095696</v>
      </c>
      <c r="N48" s="147">
        <f t="shared" si="20"/>
        <v>41.679091838943492</v>
      </c>
      <c r="O48" s="149">
        <f t="shared" si="21"/>
        <v>19.659852147942615</v>
      </c>
    </row>
    <row r="49" spans="2:15" x14ac:dyDescent="0.25">
      <c r="B49" s="93" t="s">
        <v>512</v>
      </c>
      <c r="C49" s="93" t="s">
        <v>508</v>
      </c>
      <c r="D49" s="141">
        <v>15</v>
      </c>
      <c r="E49" s="160">
        <v>5.5</v>
      </c>
      <c r="F49" s="163">
        <v>20941</v>
      </c>
      <c r="G49" s="93">
        <v>75</v>
      </c>
      <c r="H49" s="93">
        <v>20</v>
      </c>
      <c r="I49" s="146">
        <f t="shared" si="15"/>
        <v>4176.5824853023023</v>
      </c>
      <c r="J49" s="147">
        <f t="shared" si="16"/>
        <v>1950.1775269596362</v>
      </c>
      <c r="K49" s="162">
        <f t="shared" si="17"/>
        <v>418.82</v>
      </c>
      <c r="L49" s="149">
        <f t="shared" si="18"/>
        <v>2368.9975269596362</v>
      </c>
      <c r="M49" s="146">
        <f t="shared" si="19"/>
        <v>1117.446159787745</v>
      </c>
      <c r="N49" s="147">
        <f t="shared" si="20"/>
        <v>31.58663369279515</v>
      </c>
      <c r="O49" s="149">
        <f t="shared" si="21"/>
        <v>14.899282130503268</v>
      </c>
    </row>
    <row r="50" spans="2:15" x14ac:dyDescent="0.25">
      <c r="B50" s="93" t="s">
        <v>513</v>
      </c>
      <c r="C50" s="93" t="s">
        <v>508</v>
      </c>
      <c r="D50" s="141">
        <v>15</v>
      </c>
      <c r="E50" s="160">
        <v>5.5</v>
      </c>
      <c r="F50" s="163">
        <v>28416</v>
      </c>
      <c r="G50" s="93">
        <v>75</v>
      </c>
      <c r="H50" s="93">
        <v>20</v>
      </c>
      <c r="I50" s="146">
        <f t="shared" si="15"/>
        <v>5667.4355523781214</v>
      </c>
      <c r="J50" s="147">
        <f t="shared" si="16"/>
        <v>2646.3036438606096</v>
      </c>
      <c r="K50" s="162">
        <f t="shared" si="17"/>
        <v>568.32000000000005</v>
      </c>
      <c r="L50" s="149">
        <f t="shared" si="18"/>
        <v>3214.6236438606097</v>
      </c>
      <c r="M50" s="146">
        <f t="shared" si="19"/>
        <v>1516.3244389727599</v>
      </c>
      <c r="N50" s="147">
        <f t="shared" si="20"/>
        <v>42.86164858480813</v>
      </c>
      <c r="O50" s="149">
        <f t="shared" si="21"/>
        <v>20.217659186303464</v>
      </c>
    </row>
    <row r="51" spans="2:15" x14ac:dyDescent="0.25">
      <c r="B51" s="93" t="s">
        <v>514</v>
      </c>
      <c r="C51" s="93" t="s">
        <v>508</v>
      </c>
      <c r="D51" s="141">
        <v>20</v>
      </c>
      <c r="E51" s="160">
        <v>5.5</v>
      </c>
      <c r="F51" s="163">
        <v>27112</v>
      </c>
      <c r="G51" s="93">
        <v>75</v>
      </c>
      <c r="H51" s="93">
        <v>20</v>
      </c>
      <c r="I51" s="146">
        <f t="shared" si="15"/>
        <v>5407.3589771986071</v>
      </c>
      <c r="J51" s="147">
        <f t="shared" si="16"/>
        <v>2524.8657232667806</v>
      </c>
      <c r="K51" s="162">
        <f t="shared" si="17"/>
        <v>542.24</v>
      </c>
      <c r="L51" s="149">
        <f t="shared" si="18"/>
        <v>3067.1057232667808</v>
      </c>
      <c r="M51" s="146">
        <f t="shared" si="19"/>
        <v>1446.7408568915212</v>
      </c>
      <c r="N51" s="147">
        <f t="shared" si="20"/>
        <v>40.894742976890413</v>
      </c>
      <c r="O51" s="149">
        <f t="shared" si="21"/>
        <v>19.289878091886948</v>
      </c>
    </row>
    <row r="52" spans="2:15" x14ac:dyDescent="0.25">
      <c r="B52" s="93" t="s">
        <v>515</v>
      </c>
      <c r="C52" s="93" t="s">
        <v>508</v>
      </c>
      <c r="D52" s="141">
        <v>20</v>
      </c>
      <c r="E52" s="160">
        <v>5.5</v>
      </c>
      <c r="F52" s="163">
        <v>37078</v>
      </c>
      <c r="G52" s="93">
        <v>75</v>
      </c>
      <c r="H52" s="93">
        <v>20</v>
      </c>
      <c r="I52" s="146">
        <f t="shared" si="15"/>
        <v>7395.0301031487879</v>
      </c>
      <c r="J52" s="147">
        <f t="shared" si="16"/>
        <v>3452.9717943082665</v>
      </c>
      <c r="K52" s="162">
        <f t="shared" si="17"/>
        <v>741.56000000000006</v>
      </c>
      <c r="L52" s="149">
        <f t="shared" si="18"/>
        <v>4194.5317943082664</v>
      </c>
      <c r="M52" s="146">
        <f t="shared" si="19"/>
        <v>1978.5429880430736</v>
      </c>
      <c r="N52" s="147">
        <f t="shared" si="20"/>
        <v>55.927090590776885</v>
      </c>
      <c r="O52" s="149">
        <f t="shared" si="21"/>
        <v>26.380573173907649</v>
      </c>
    </row>
    <row r="53" spans="2:15" x14ac:dyDescent="0.25">
      <c r="B53" s="93" t="s">
        <v>516</v>
      </c>
      <c r="C53" s="93" t="s">
        <v>508</v>
      </c>
      <c r="D53" s="141">
        <v>20</v>
      </c>
      <c r="E53" s="160">
        <v>5.5</v>
      </c>
      <c r="F53" s="163">
        <v>28688</v>
      </c>
      <c r="G53" s="93">
        <v>75</v>
      </c>
      <c r="H53" s="93">
        <v>20</v>
      </c>
      <c r="I53" s="146">
        <f t="shared" si="15"/>
        <v>5721.6846539493081</v>
      </c>
      <c r="J53" s="147">
        <f t="shared" si="16"/>
        <v>2671.6342530642301</v>
      </c>
      <c r="K53" s="162">
        <f t="shared" si="17"/>
        <v>573.76</v>
      </c>
      <c r="L53" s="149">
        <f t="shared" si="18"/>
        <v>3245.3942530642298</v>
      </c>
      <c r="M53" s="146">
        <f t="shared" si="19"/>
        <v>1530.8388057872512</v>
      </c>
      <c r="N53" s="147">
        <f t="shared" si="20"/>
        <v>43.271923374189733</v>
      </c>
      <c r="O53" s="149">
        <f t="shared" si="21"/>
        <v>20.411184077163348</v>
      </c>
    </row>
    <row r="54" spans="2:15" x14ac:dyDescent="0.25">
      <c r="B54" s="93" t="s">
        <v>517</v>
      </c>
      <c r="C54" s="93" t="s">
        <v>508</v>
      </c>
      <c r="D54" s="141">
        <v>20</v>
      </c>
      <c r="E54" s="160">
        <v>5.5</v>
      </c>
      <c r="F54" s="163">
        <v>38654</v>
      </c>
      <c r="G54" s="93">
        <v>75</v>
      </c>
      <c r="H54" s="93">
        <v>20</v>
      </c>
      <c r="I54" s="146">
        <f t="shared" si="15"/>
        <v>7709.3557798994889</v>
      </c>
      <c r="J54" s="147">
        <f t="shared" si="16"/>
        <v>3599.7403241057154</v>
      </c>
      <c r="K54" s="162">
        <f t="shared" si="17"/>
        <v>773.08</v>
      </c>
      <c r="L54" s="149">
        <f t="shared" si="18"/>
        <v>4372.8203241057154</v>
      </c>
      <c r="M54" s="146">
        <f t="shared" si="19"/>
        <v>2062.6409369388043</v>
      </c>
      <c r="N54" s="147">
        <f t="shared" si="20"/>
        <v>58.304270988076205</v>
      </c>
      <c r="O54" s="149">
        <f t="shared" si="21"/>
        <v>27.501879159184057</v>
      </c>
    </row>
    <row r="55" spans="2:15" x14ac:dyDescent="0.25">
      <c r="B55" s="93" t="s">
        <v>518</v>
      </c>
      <c r="C55" s="93" t="s">
        <v>508</v>
      </c>
      <c r="D55" s="141">
        <v>20</v>
      </c>
      <c r="E55" s="160">
        <v>5.5</v>
      </c>
      <c r="F55" s="163">
        <v>29580</v>
      </c>
      <c r="G55" s="93">
        <v>75</v>
      </c>
      <c r="H55" s="93">
        <v>20</v>
      </c>
      <c r="I55" s="146">
        <f t="shared" si="15"/>
        <v>5899.5897958665828</v>
      </c>
      <c r="J55" s="147">
        <f t="shared" si="16"/>
        <v>2754.7037508937515</v>
      </c>
      <c r="K55" s="162">
        <f t="shared" si="17"/>
        <v>591.6</v>
      </c>
      <c r="L55" s="149">
        <f t="shared" si="18"/>
        <v>3346.3037508937514</v>
      </c>
      <c r="M55" s="146">
        <f t="shared" si="19"/>
        <v>1578.4373910759516</v>
      </c>
      <c r="N55" s="147">
        <f t="shared" si="20"/>
        <v>44.617383345250019</v>
      </c>
      <c r="O55" s="149">
        <f t="shared" si="21"/>
        <v>21.045831881012688</v>
      </c>
    </row>
    <row r="56" spans="2:15" x14ac:dyDescent="0.25">
      <c r="B56" s="93" t="s">
        <v>519</v>
      </c>
      <c r="C56" s="93" t="s">
        <v>508</v>
      </c>
      <c r="D56" s="141">
        <v>20</v>
      </c>
      <c r="E56" s="160">
        <v>5.5</v>
      </c>
      <c r="F56" s="163">
        <v>39547</v>
      </c>
      <c r="G56" s="93">
        <v>75</v>
      </c>
      <c r="H56" s="93">
        <v>20</v>
      </c>
      <c r="I56" s="146">
        <f t="shared" si="15"/>
        <v>7887.4603670431288</v>
      </c>
      <c r="J56" s="147">
        <f t="shared" si="16"/>
        <v>3682.9029491749557</v>
      </c>
      <c r="K56" s="162">
        <f t="shared" si="17"/>
        <v>790.94</v>
      </c>
      <c r="L56" s="149">
        <f t="shared" si="18"/>
        <v>4473.8429491749557</v>
      </c>
      <c r="M56" s="146">
        <f t="shared" si="19"/>
        <v>2110.2928838702046</v>
      </c>
      <c r="N56" s="147">
        <f t="shared" si="20"/>
        <v>59.651239322332742</v>
      </c>
      <c r="O56" s="149">
        <f t="shared" si="21"/>
        <v>28.137238451602727</v>
      </c>
    </row>
    <row r="57" spans="2:15" x14ac:dyDescent="0.25">
      <c r="B57" s="93" t="s">
        <v>520</v>
      </c>
      <c r="C57" s="93" t="s">
        <v>508</v>
      </c>
      <c r="D57" s="141">
        <v>30</v>
      </c>
      <c r="E57" s="160">
        <v>5.5</v>
      </c>
      <c r="F57" s="163">
        <v>42735</v>
      </c>
      <c r="G57" s="93">
        <v>75</v>
      </c>
      <c r="H57" s="93">
        <v>20</v>
      </c>
      <c r="I57" s="146">
        <f t="shared" si="15"/>
        <v>8523.2917486936585</v>
      </c>
      <c r="J57" s="147">
        <f t="shared" si="16"/>
        <v>3979.7925893997453</v>
      </c>
      <c r="K57" s="162">
        <f t="shared" si="17"/>
        <v>854.7</v>
      </c>
      <c r="L57" s="149">
        <f t="shared" si="18"/>
        <v>4834.4925893997452</v>
      </c>
      <c r="M57" s="146">
        <f t="shared" si="19"/>
        <v>2280.4098007988769</v>
      </c>
      <c r="N57" s="147">
        <f t="shared" si="20"/>
        <v>64.459901191996607</v>
      </c>
      <c r="O57" s="149">
        <f t="shared" si="21"/>
        <v>30.405464010651691</v>
      </c>
    </row>
    <row r="58" spans="2:15" x14ac:dyDescent="0.25">
      <c r="B58" s="93" t="s">
        <v>521</v>
      </c>
      <c r="C58" s="93" t="s">
        <v>508</v>
      </c>
      <c r="D58" s="141">
        <v>30</v>
      </c>
      <c r="E58" s="160">
        <v>5.5</v>
      </c>
      <c r="F58" s="163">
        <v>57119</v>
      </c>
      <c r="G58" s="93">
        <v>75</v>
      </c>
      <c r="H58" s="93">
        <v>20</v>
      </c>
      <c r="I58" s="146">
        <f t="shared" si="15"/>
        <v>11392.111884722899</v>
      </c>
      <c r="J58" s="147">
        <f t="shared" si="16"/>
        <v>5319.334805520627</v>
      </c>
      <c r="K58" s="162">
        <f t="shared" si="17"/>
        <v>1142.3800000000001</v>
      </c>
      <c r="L58" s="149">
        <f t="shared" si="18"/>
        <v>6461.7148055206271</v>
      </c>
      <c r="M58" s="146">
        <f t="shared" si="19"/>
        <v>3047.9636694005162</v>
      </c>
      <c r="N58" s="147">
        <f t="shared" si="20"/>
        <v>86.1561974069417</v>
      </c>
      <c r="O58" s="149">
        <f t="shared" si="21"/>
        <v>40.63951559200688</v>
      </c>
    </row>
    <row r="59" spans="2:15" x14ac:dyDescent="0.25">
      <c r="B59" s="93" t="s">
        <v>522</v>
      </c>
      <c r="C59" s="93" t="s">
        <v>508</v>
      </c>
      <c r="D59" s="141">
        <v>30</v>
      </c>
      <c r="E59" s="160">
        <v>5.5</v>
      </c>
      <c r="F59" s="163">
        <v>44657</v>
      </c>
      <c r="G59" s="93">
        <v>75</v>
      </c>
      <c r="H59" s="93">
        <v>20</v>
      </c>
      <c r="I59" s="146">
        <f t="shared" si="15"/>
        <v>8906.6254737665313</v>
      </c>
      <c r="J59" s="147">
        <f t="shared" si="16"/>
        <v>4158.7831441400349</v>
      </c>
      <c r="K59" s="162">
        <f t="shared" si="17"/>
        <v>893.14</v>
      </c>
      <c r="L59" s="149">
        <f t="shared" si="18"/>
        <v>5051.9231441400352</v>
      </c>
      <c r="M59" s="146">
        <f t="shared" si="19"/>
        <v>2382.9708780689234</v>
      </c>
      <c r="N59" s="147">
        <f t="shared" si="20"/>
        <v>67.358975255200463</v>
      </c>
      <c r="O59" s="149">
        <f t="shared" si="21"/>
        <v>31.77294504091898</v>
      </c>
    </row>
    <row r="60" spans="2:15" x14ac:dyDescent="0.25">
      <c r="B60" s="93" t="s">
        <v>523</v>
      </c>
      <c r="C60" s="93" t="s">
        <v>508</v>
      </c>
      <c r="D60" s="141">
        <v>30</v>
      </c>
      <c r="E60" s="160">
        <v>5.5</v>
      </c>
      <c r="F60" s="163">
        <v>59550</v>
      </c>
      <c r="G60" s="93">
        <v>75</v>
      </c>
      <c r="H60" s="93">
        <v>20</v>
      </c>
      <c r="I60" s="146">
        <f t="shared" si="15"/>
        <v>11876.963230015383</v>
      </c>
      <c r="J60" s="147">
        <f t="shared" si="16"/>
        <v>5545.7271252779883</v>
      </c>
      <c r="K60" s="162">
        <f t="shared" si="17"/>
        <v>1191</v>
      </c>
      <c r="L60" s="149">
        <f t="shared" si="18"/>
        <v>6736.7271252779883</v>
      </c>
      <c r="M60" s="146">
        <f t="shared" si="19"/>
        <v>3177.6858228050341</v>
      </c>
      <c r="N60" s="147">
        <f t="shared" si="20"/>
        <v>89.823028337039844</v>
      </c>
      <c r="O60" s="149">
        <f t="shared" si="21"/>
        <v>42.36914430406712</v>
      </c>
    </row>
    <row r="61" spans="2:15" x14ac:dyDescent="0.25">
      <c r="B61" s="93" t="s">
        <v>524</v>
      </c>
      <c r="C61" s="93" t="s">
        <v>508</v>
      </c>
      <c r="D61" s="141">
        <v>30</v>
      </c>
      <c r="E61" s="160">
        <v>5.5</v>
      </c>
      <c r="F61" s="163">
        <v>46210</v>
      </c>
      <c r="G61" s="93">
        <v>75</v>
      </c>
      <c r="H61" s="93">
        <v>20</v>
      </c>
      <c r="I61" s="146">
        <f t="shared" si="15"/>
        <v>9216.3639103108453</v>
      </c>
      <c r="J61" s="147">
        <f t="shared" si="16"/>
        <v>4303.4097474239434</v>
      </c>
      <c r="K61" s="162">
        <f t="shared" si="17"/>
        <v>924.2</v>
      </c>
      <c r="L61" s="149">
        <f t="shared" si="18"/>
        <v>5227.6097474239432</v>
      </c>
      <c r="M61" s="146">
        <f t="shared" si="19"/>
        <v>2465.8415091825459</v>
      </c>
      <c r="N61" s="147">
        <f t="shared" si="20"/>
        <v>69.701463298985914</v>
      </c>
      <c r="O61" s="149">
        <f t="shared" si="21"/>
        <v>32.877886789100614</v>
      </c>
    </row>
    <row r="62" spans="2:15" x14ac:dyDescent="0.25">
      <c r="B62" s="93" t="s">
        <v>525</v>
      </c>
      <c r="C62" s="93" t="s">
        <v>508</v>
      </c>
      <c r="D62" s="141">
        <v>30</v>
      </c>
      <c r="E62" s="160">
        <v>5.5</v>
      </c>
      <c r="F62" s="163">
        <v>61013</v>
      </c>
      <c r="G62" s="93">
        <v>75</v>
      </c>
      <c r="H62" s="93">
        <v>20</v>
      </c>
      <c r="I62" s="146">
        <f t="shared" si="15"/>
        <v>12168.751596186878</v>
      </c>
      <c r="J62" s="147">
        <f t="shared" si="16"/>
        <v>5681.9722769871687</v>
      </c>
      <c r="K62" s="162">
        <f t="shared" si="17"/>
        <v>1220.26</v>
      </c>
      <c r="L62" s="149">
        <f t="shared" si="18"/>
        <v>6902.2322769871689</v>
      </c>
      <c r="M62" s="146">
        <f t="shared" si="19"/>
        <v>3255.7539060756262</v>
      </c>
      <c r="N62" s="147">
        <f t="shared" si="20"/>
        <v>92.029763693162252</v>
      </c>
      <c r="O62" s="149">
        <f t="shared" si="21"/>
        <v>43.410052081008352</v>
      </c>
    </row>
    <row r="63" spans="2:15" x14ac:dyDescent="0.25">
      <c r="B63" s="93" t="s">
        <v>526</v>
      </c>
      <c r="C63" s="93" t="s">
        <v>527</v>
      </c>
      <c r="D63" s="141">
        <v>18</v>
      </c>
      <c r="E63" s="160">
        <v>7</v>
      </c>
      <c r="F63" s="163">
        <v>35396</v>
      </c>
      <c r="G63" s="93">
        <v>100</v>
      </c>
      <c r="H63" s="93">
        <v>20</v>
      </c>
      <c r="I63" s="146">
        <f t="shared" si="15"/>
        <v>5636.9160059343749</v>
      </c>
      <c r="J63" s="147">
        <f t="shared" si="16"/>
        <v>3323.6653996582072</v>
      </c>
      <c r="K63" s="162">
        <f t="shared" si="17"/>
        <v>707.92</v>
      </c>
      <c r="L63" s="149">
        <f t="shared" si="18"/>
        <v>4031.5853996582073</v>
      </c>
      <c r="M63" s="146">
        <f t="shared" si="19"/>
        <v>1261.0431542623687</v>
      </c>
      <c r="N63" s="147">
        <f t="shared" si="20"/>
        <v>40.315853996582071</v>
      </c>
      <c r="O63" s="149">
        <f t="shared" si="21"/>
        <v>12.610431542623687</v>
      </c>
    </row>
    <row r="64" spans="2:15" x14ac:dyDescent="0.25">
      <c r="B64" s="93" t="s">
        <v>528</v>
      </c>
      <c r="C64" s="93" t="s">
        <v>527</v>
      </c>
      <c r="D64" s="141">
        <v>28</v>
      </c>
      <c r="E64" s="160">
        <v>7</v>
      </c>
      <c r="F64" s="163">
        <v>64639</v>
      </c>
      <c r="G64" s="93">
        <v>100</v>
      </c>
      <c r="H64" s="93">
        <v>20</v>
      </c>
      <c r="I64" s="146">
        <f t="shared" si="15"/>
        <v>10293.948856017405</v>
      </c>
      <c r="J64" s="147">
        <f t="shared" si="16"/>
        <v>6069.5674022066569</v>
      </c>
      <c r="K64" s="162">
        <f t="shared" si="17"/>
        <v>1292.78</v>
      </c>
      <c r="L64" s="149">
        <f t="shared" si="18"/>
        <v>7362.3474022066566</v>
      </c>
      <c r="M64" s="146">
        <f t="shared" si="19"/>
        <v>2302.8751398001264</v>
      </c>
      <c r="N64" s="147">
        <f t="shared" si="20"/>
        <v>73.62347402206656</v>
      </c>
      <c r="O64" s="149">
        <f t="shared" si="21"/>
        <v>23.028751398001262</v>
      </c>
    </row>
    <row r="65" spans="2:15" x14ac:dyDescent="0.25">
      <c r="B65" s="93" t="s">
        <v>529</v>
      </c>
      <c r="C65" s="93" t="s">
        <v>527</v>
      </c>
      <c r="D65" s="141">
        <v>33</v>
      </c>
      <c r="E65" s="160">
        <v>7</v>
      </c>
      <c r="F65" s="163">
        <v>130218</v>
      </c>
      <c r="G65" s="93">
        <v>100</v>
      </c>
      <c r="H65" s="93">
        <v>20</v>
      </c>
      <c r="I65" s="146">
        <f t="shared" si="15"/>
        <v>20737.595447529733</v>
      </c>
      <c r="J65" s="147">
        <f t="shared" si="16"/>
        <v>12227.400299827452</v>
      </c>
      <c r="K65" s="162">
        <f t="shared" si="17"/>
        <v>2604.36</v>
      </c>
      <c r="L65" s="149">
        <f t="shared" si="18"/>
        <v>14831.760299827452</v>
      </c>
      <c r="M65" s="146">
        <f t="shared" si="19"/>
        <v>4639.2393903756683</v>
      </c>
      <c r="N65" s="147">
        <f t="shared" si="20"/>
        <v>148.31760299827454</v>
      </c>
      <c r="O65" s="149">
        <f t="shared" si="21"/>
        <v>46.392393903756684</v>
      </c>
    </row>
    <row r="66" spans="2:15" x14ac:dyDescent="0.25">
      <c r="B66" s="93" t="s">
        <v>530</v>
      </c>
      <c r="C66" s="93" t="s">
        <v>531</v>
      </c>
      <c r="D66" s="141"/>
      <c r="E66" s="160" t="s">
        <v>532</v>
      </c>
      <c r="F66" s="161">
        <v>71443</v>
      </c>
      <c r="G66" s="93">
        <v>100</v>
      </c>
      <c r="H66" s="93">
        <v>20</v>
      </c>
      <c r="I66" s="146">
        <f t="shared" si="15"/>
        <v>15866.181811563711</v>
      </c>
      <c r="J66" s="147">
        <f t="shared" si="16"/>
        <v>6622.2174639434234</v>
      </c>
      <c r="K66" s="162">
        <f t="shared" si="17"/>
        <v>1428.8600000000001</v>
      </c>
      <c r="L66" s="149">
        <f t="shared" si="18"/>
        <v>8051.0774639434239</v>
      </c>
      <c r="M66" s="146">
        <f t="shared" si="19"/>
        <v>1671.1763561294163</v>
      </c>
      <c r="N66" s="147">
        <f t="shared" si="20"/>
        <v>80.510774639434246</v>
      </c>
      <c r="O66" s="149">
        <f t="shared" si="21"/>
        <v>16.711763561294163</v>
      </c>
    </row>
    <row r="67" spans="2:15" x14ac:dyDescent="0.25">
      <c r="B67" s="93" t="s">
        <v>533</v>
      </c>
      <c r="C67" s="93" t="s">
        <v>531</v>
      </c>
      <c r="D67" s="141"/>
      <c r="E67" s="160"/>
      <c r="F67" s="161">
        <v>92481</v>
      </c>
      <c r="G67" s="93">
        <v>100</v>
      </c>
      <c r="H67" s="93">
        <v>20</v>
      </c>
      <c r="I67" s="146">
        <f t="shared" si="15"/>
        <v>20538.336297680999</v>
      </c>
      <c r="J67" s="147">
        <f t="shared" si="16"/>
        <v>8572.2785057031724</v>
      </c>
      <c r="K67" s="162">
        <f t="shared" si="17"/>
        <v>1849.6200000000001</v>
      </c>
      <c r="L67" s="149">
        <f t="shared" si="18"/>
        <v>10421.898505703173</v>
      </c>
      <c r="M67" s="146">
        <f t="shared" si="19"/>
        <v>2163.2918633204727</v>
      </c>
      <c r="N67" s="147">
        <f t="shared" si="20"/>
        <v>104.21898505703173</v>
      </c>
      <c r="O67" s="149">
        <f t="shared" si="21"/>
        <v>21.632918633204728</v>
      </c>
    </row>
    <row r="68" spans="2:15" x14ac:dyDescent="0.25">
      <c r="B68" s="93" t="s">
        <v>534</v>
      </c>
      <c r="C68" s="93" t="s">
        <v>535</v>
      </c>
      <c r="D68" s="141">
        <v>10</v>
      </c>
      <c r="E68" s="160">
        <v>5</v>
      </c>
      <c r="F68" s="161">
        <v>42417</v>
      </c>
      <c r="G68" s="93">
        <v>75</v>
      </c>
      <c r="H68" s="93">
        <v>20</v>
      </c>
      <c r="I68" s="146">
        <f t="shared" si="15"/>
        <v>12103.318379038439</v>
      </c>
      <c r="J68" s="147">
        <f t="shared" si="16"/>
        <v>3880.1757463550239</v>
      </c>
      <c r="K68" s="162">
        <f t="shared" si="17"/>
        <v>848.34</v>
      </c>
      <c r="L68" s="149">
        <f t="shared" si="18"/>
        <v>4728.515746355024</v>
      </c>
      <c r="M68" s="146">
        <f t="shared" si="19"/>
        <v>1590.1993656333393</v>
      </c>
      <c r="N68" s="147">
        <f t="shared" si="20"/>
        <v>63.046876618066989</v>
      </c>
      <c r="O68" s="149">
        <f t="shared" si="21"/>
        <v>21.202658208444525</v>
      </c>
    </row>
    <row r="69" spans="2:15" x14ac:dyDescent="0.25">
      <c r="B69" s="93" t="s">
        <v>536</v>
      </c>
      <c r="C69" s="93" t="s">
        <v>535</v>
      </c>
      <c r="D69" s="141">
        <v>15</v>
      </c>
      <c r="E69" s="160">
        <v>5</v>
      </c>
      <c r="F69" s="161">
        <v>70246</v>
      </c>
      <c r="G69" s="93">
        <v>75</v>
      </c>
      <c r="H69" s="93">
        <v>20</v>
      </c>
      <c r="I69" s="146">
        <f t="shared" si="15"/>
        <v>20044.079092202046</v>
      </c>
      <c r="J69" s="147">
        <f t="shared" si="16"/>
        <v>6425.8864483215457</v>
      </c>
      <c r="K69" s="162">
        <f t="shared" si="17"/>
        <v>1404.92</v>
      </c>
      <c r="L69" s="149">
        <f t="shared" si="18"/>
        <v>7830.8064483215458</v>
      </c>
      <c r="M69" s="146">
        <f t="shared" si="19"/>
        <v>2633.499413873672</v>
      </c>
      <c r="N69" s="147">
        <f t="shared" si="20"/>
        <v>104.41075264428727</v>
      </c>
      <c r="O69" s="149">
        <f t="shared" si="21"/>
        <v>35.113325518315627</v>
      </c>
    </row>
    <row r="70" spans="2:15" x14ac:dyDescent="0.25">
      <c r="B70" s="93" t="s">
        <v>537</v>
      </c>
      <c r="C70" s="93" t="s">
        <v>535</v>
      </c>
      <c r="D70" s="141">
        <v>20</v>
      </c>
      <c r="E70" s="160">
        <v>5</v>
      </c>
      <c r="F70" s="161">
        <v>103565</v>
      </c>
      <c r="G70" s="93">
        <v>75</v>
      </c>
      <c r="H70" s="93">
        <v>20</v>
      </c>
      <c r="I70" s="146">
        <f t="shared" si="15"/>
        <v>29551.363083789896</v>
      </c>
      <c r="J70" s="147">
        <f t="shared" si="16"/>
        <v>9473.8053415200993</v>
      </c>
      <c r="K70" s="162">
        <f t="shared" si="17"/>
        <v>2071.3000000000002</v>
      </c>
      <c r="L70" s="149">
        <f t="shared" si="18"/>
        <v>11545.105341520099</v>
      </c>
      <c r="M70" s="146">
        <f t="shared" si="19"/>
        <v>3882.6177547166649</v>
      </c>
      <c r="N70" s="147">
        <f t="shared" si="20"/>
        <v>153.93473788693464</v>
      </c>
      <c r="O70" s="149">
        <f t="shared" si="21"/>
        <v>51.768236729555532</v>
      </c>
    </row>
    <row r="71" spans="2:15" x14ac:dyDescent="0.25">
      <c r="B71" s="93" t="s">
        <v>536</v>
      </c>
      <c r="C71" s="93" t="s">
        <v>535</v>
      </c>
      <c r="D71" s="141">
        <v>15</v>
      </c>
      <c r="E71" s="160">
        <v>5</v>
      </c>
      <c r="F71" s="161">
        <v>70246</v>
      </c>
      <c r="G71" s="93">
        <v>75</v>
      </c>
      <c r="H71" s="93">
        <v>20</v>
      </c>
      <c r="I71" s="146">
        <f t="shared" ref="I71:I72" si="22">F71*(VLOOKUP(C71,MachineCoefficientTable,2,FALSE)-(VLOOKUP(C71,MachineCoefficientTable,3,FALSE)*(H71^0.5))-(VLOOKUP(C71,MachineCoefficientTable,4,FALSE)*(G71^0.5)))^2</f>
        <v>20044.079092202046</v>
      </c>
      <c r="J71" s="147">
        <f t="shared" ref="J71:J72" si="23">IF(ISBLANK(B71),"",PMT(InterestRate_Machinery,H71,-F71,I71,1))</f>
        <v>6425.8864483215457</v>
      </c>
      <c r="K71" s="162">
        <f t="shared" si="14"/>
        <v>1404.92</v>
      </c>
      <c r="L71" s="149">
        <f t="shared" si="10"/>
        <v>7830.8064483215458</v>
      </c>
      <c r="M71" s="146">
        <f t="shared" ref="M71:M72" si="24">(VLOOKUP(C71,MachineCoefficientTable,5,FALSE)*F71*((G71*H71)/1000)^VLOOKUP(C71,MachineCoefficientTable,6,FALSE))/H71</f>
        <v>2633.499413873672</v>
      </c>
      <c r="N71" s="147">
        <f t="shared" si="12"/>
        <v>104.41075264428727</v>
      </c>
      <c r="O71" s="149">
        <f t="shared" si="13"/>
        <v>35.113325518315627</v>
      </c>
    </row>
    <row r="72" spans="2:15" x14ac:dyDescent="0.25">
      <c r="B72" s="93" t="s">
        <v>537</v>
      </c>
      <c r="C72" s="93" t="s">
        <v>535</v>
      </c>
      <c r="D72" s="141">
        <v>20</v>
      </c>
      <c r="E72" s="160">
        <v>5</v>
      </c>
      <c r="F72" s="161">
        <v>103565</v>
      </c>
      <c r="G72" s="93">
        <v>75</v>
      </c>
      <c r="H72" s="93">
        <v>20</v>
      </c>
      <c r="I72" s="146">
        <f t="shared" si="22"/>
        <v>29551.363083789896</v>
      </c>
      <c r="J72" s="147">
        <f t="shared" si="23"/>
        <v>9473.8053415200993</v>
      </c>
      <c r="K72" s="162">
        <f t="shared" si="14"/>
        <v>2071.3000000000002</v>
      </c>
      <c r="L72" s="149">
        <f t="shared" si="10"/>
        <v>11545.105341520099</v>
      </c>
      <c r="M72" s="146">
        <f t="shared" si="24"/>
        <v>3882.6177547166649</v>
      </c>
      <c r="N72" s="147">
        <f t="shared" si="12"/>
        <v>153.93473788693464</v>
      </c>
      <c r="O72" s="149">
        <f t="shared" si="13"/>
        <v>51.768236729555532</v>
      </c>
    </row>
    <row r="73" spans="2:15" x14ac:dyDescent="0.25">
      <c r="B73" s="93" t="s">
        <v>538</v>
      </c>
      <c r="C73" s="93" t="s">
        <v>531</v>
      </c>
      <c r="D73" s="141"/>
      <c r="E73" s="160"/>
      <c r="F73" s="161">
        <v>12500</v>
      </c>
      <c r="G73" s="93">
        <v>200</v>
      </c>
      <c r="H73" s="93">
        <v>20</v>
      </c>
      <c r="I73" s="146">
        <f t="shared" ref="I73:I74" si="25">F73*(VLOOKUP(C73,MachineCoefficientTable,2,FALSE)-(VLOOKUP(C73,MachineCoefficientTable,3,FALSE)*(H73^0.5))-(VLOOKUP(C73,MachineCoefficientTable,4,FALSE)*(G73^0.5)))^2</f>
        <v>2617.316272761941</v>
      </c>
      <c r="J73" s="147">
        <f t="shared" ref="J73:J74" si="26">IF(ISBLANK(B73),"",PMT(InterestRate_Machinery,H73,-F73,I73,1))</f>
        <v>1161.7032367949173</v>
      </c>
      <c r="K73" s="162">
        <f t="shared" ref="K73:K74" si="27">F73*0.02</f>
        <v>250</v>
      </c>
      <c r="L73" s="149">
        <f t="shared" ref="L73:L74" si="28">J73+K73</f>
        <v>1411.7032367949173</v>
      </c>
      <c r="M73" s="146">
        <f t="shared" ref="M73:M74" si="29">(VLOOKUP(C73,MachineCoefficientTable,5,FALSE)*F73*((G73*H73)/1000)^VLOOKUP(C73,MachineCoefficientTable,6,FALSE))/H73</f>
        <v>719.965369092439</v>
      </c>
      <c r="N73" s="147">
        <f t="shared" ref="N73:N74" si="30">L73/G73</f>
        <v>7.0585161839745867</v>
      </c>
      <c r="O73" s="149">
        <f t="shared" ref="O73:O74" si="31">M73/G73</f>
        <v>3.5998268454621951</v>
      </c>
    </row>
    <row r="74" spans="2:15" x14ac:dyDescent="0.25">
      <c r="B74" s="93" t="s">
        <v>138</v>
      </c>
      <c r="C74" s="93" t="s">
        <v>531</v>
      </c>
      <c r="D74" s="141"/>
      <c r="E74" s="160"/>
      <c r="F74" s="161">
        <v>16500</v>
      </c>
      <c r="G74" s="93">
        <v>200</v>
      </c>
      <c r="H74" s="93">
        <v>20</v>
      </c>
      <c r="I74" s="146">
        <f t="shared" si="25"/>
        <v>3454.8574800457618</v>
      </c>
      <c r="J74" s="147">
        <f t="shared" si="26"/>
        <v>1533.4482725692915</v>
      </c>
      <c r="K74" s="162">
        <f t="shared" si="27"/>
        <v>330</v>
      </c>
      <c r="L74" s="149">
        <f t="shared" si="28"/>
        <v>1863.4482725692915</v>
      </c>
      <c r="M74" s="146">
        <f t="shared" si="29"/>
        <v>950.35428720201958</v>
      </c>
      <c r="N74" s="147">
        <f t="shared" si="30"/>
        <v>9.3172413628464579</v>
      </c>
      <c r="O74" s="149">
        <f t="shared" si="31"/>
        <v>4.751771436010098</v>
      </c>
    </row>
    <row r="75" spans="2:15" x14ac:dyDescent="0.25">
      <c r="B75" s="93" t="s">
        <v>142</v>
      </c>
      <c r="C75" s="93" t="s">
        <v>539</v>
      </c>
      <c r="D75" s="141">
        <v>30</v>
      </c>
      <c r="E75" s="160">
        <v>5</v>
      </c>
      <c r="F75" s="161">
        <v>192514</v>
      </c>
      <c r="G75" s="93">
        <v>75</v>
      </c>
      <c r="H75" s="93">
        <v>20</v>
      </c>
      <c r="I75" s="146">
        <f t="shared" ref="I75:I114" si="32">F75*(VLOOKUP(C75,MachineCoefficientTable,2,FALSE)-(VLOOKUP(C75,MachineCoefficientTable,3,FALSE)*(H75^0.5))-(VLOOKUP(C75,MachineCoefficientTable,4,FALSE)*(G75^0.5)))^2</f>
        <v>54932.178947643777</v>
      </c>
      <c r="J75" s="147">
        <f t="shared" ref="J75:J114" si="33">IF(ISBLANK(B75),"",PMT(InterestRate_Machinery,H75,-F75,I75,1))</f>
        <v>17610.584285399513</v>
      </c>
      <c r="K75" s="162">
        <f t="shared" ref="K75:K114" si="34">F75*0.02</f>
        <v>3850.28</v>
      </c>
      <c r="L75" s="149">
        <f t="shared" ref="L75:L114" si="35">J75+K75</f>
        <v>21460.864285399512</v>
      </c>
      <c r="M75" s="146">
        <f t="shared" ref="M75:M114" si="36">(VLOOKUP(C75,MachineCoefficientTable,5,FALSE)*F75*((G75*H75)/1000)^VLOOKUP(C75,MachineCoefficientTable,6,FALSE))/H75</f>
        <v>7217.2864812583794</v>
      </c>
      <c r="N75" s="147">
        <f t="shared" ref="N75:N114" si="37">L75/G75</f>
        <v>286.14485713866014</v>
      </c>
      <c r="O75" s="149">
        <f t="shared" ref="O75:O114" si="38">M75/G75</f>
        <v>96.23048641677839</v>
      </c>
    </row>
    <row r="76" spans="2:15" x14ac:dyDescent="0.25">
      <c r="B76" s="93" t="s">
        <v>540</v>
      </c>
      <c r="C76" s="93" t="s">
        <v>539</v>
      </c>
      <c r="D76" s="141">
        <v>15</v>
      </c>
      <c r="E76" s="160">
        <v>5</v>
      </c>
      <c r="F76" s="161">
        <v>57670</v>
      </c>
      <c r="G76" s="93">
        <v>75</v>
      </c>
      <c r="H76" s="93">
        <v>20</v>
      </c>
      <c r="I76" s="146">
        <f t="shared" si="32"/>
        <v>16455.6279538663</v>
      </c>
      <c r="J76" s="147">
        <f t="shared" si="33"/>
        <v>5275.4729304829261</v>
      </c>
      <c r="K76" s="162">
        <f t="shared" si="34"/>
        <v>1153.4000000000001</v>
      </c>
      <c r="L76" s="149">
        <f t="shared" si="35"/>
        <v>6428.8729304829267</v>
      </c>
      <c r="M76" s="146">
        <f t="shared" si="36"/>
        <v>2162.0293140975236</v>
      </c>
      <c r="N76" s="147">
        <f t="shared" si="37"/>
        <v>85.718305739772362</v>
      </c>
      <c r="O76" s="149">
        <f t="shared" si="38"/>
        <v>28.827057521300315</v>
      </c>
    </row>
    <row r="77" spans="2:15" x14ac:dyDescent="0.25">
      <c r="B77" s="93" t="s">
        <v>541</v>
      </c>
      <c r="C77" s="93" t="s">
        <v>539</v>
      </c>
      <c r="D77" s="141">
        <v>20</v>
      </c>
      <c r="E77" s="160">
        <v>5</v>
      </c>
      <c r="F77" s="161">
        <v>56085</v>
      </c>
      <c r="G77" s="93">
        <v>75</v>
      </c>
      <c r="H77" s="93">
        <v>20</v>
      </c>
      <c r="I77" s="146">
        <f t="shared" si="32"/>
        <v>16003.362125760212</v>
      </c>
      <c r="J77" s="147">
        <f t="shared" si="33"/>
        <v>5130.4820410288685</v>
      </c>
      <c r="K77" s="162">
        <f t="shared" si="34"/>
        <v>1121.7</v>
      </c>
      <c r="L77" s="149">
        <f t="shared" si="35"/>
        <v>6252.1820410288683</v>
      </c>
      <c r="M77" s="146">
        <f t="shared" si="36"/>
        <v>2102.608185905317</v>
      </c>
      <c r="N77" s="147">
        <f t="shared" si="37"/>
        <v>83.362427213718249</v>
      </c>
      <c r="O77" s="149">
        <f t="shared" si="38"/>
        <v>28.034775812070894</v>
      </c>
    </row>
    <row r="78" spans="2:15" x14ac:dyDescent="0.25">
      <c r="B78" s="93" t="s">
        <v>542</v>
      </c>
      <c r="C78" s="93" t="s">
        <v>539</v>
      </c>
      <c r="D78" s="141">
        <v>20</v>
      </c>
      <c r="E78" s="160">
        <v>5</v>
      </c>
      <c r="F78" s="161">
        <v>129900</v>
      </c>
      <c r="G78" s="93">
        <v>75</v>
      </c>
      <c r="H78" s="93">
        <v>20</v>
      </c>
      <c r="I78" s="146">
        <f t="shared" si="32"/>
        <v>37065.824019546249</v>
      </c>
      <c r="J78" s="147">
        <f t="shared" si="33"/>
        <v>11882.849552102167</v>
      </c>
      <c r="K78" s="162">
        <f t="shared" si="34"/>
        <v>2598</v>
      </c>
      <c r="L78" s="149">
        <f t="shared" si="35"/>
        <v>14480.849552102167</v>
      </c>
      <c r="M78" s="146">
        <f t="shared" si="36"/>
        <v>4869.9082348061092</v>
      </c>
      <c r="N78" s="147">
        <f t="shared" si="37"/>
        <v>193.07799402802888</v>
      </c>
      <c r="O78" s="149">
        <f t="shared" si="38"/>
        <v>64.932109797414796</v>
      </c>
    </row>
    <row r="79" spans="2:15" x14ac:dyDescent="0.25">
      <c r="B79" s="93" t="s">
        <v>543</v>
      </c>
      <c r="C79" s="93" t="s">
        <v>539</v>
      </c>
      <c r="D79" s="141">
        <v>30</v>
      </c>
      <c r="E79" s="160">
        <v>5</v>
      </c>
      <c r="F79" s="161">
        <v>165591</v>
      </c>
      <c r="G79" s="93">
        <v>75</v>
      </c>
      <c r="H79" s="93">
        <v>20</v>
      </c>
      <c r="I79" s="146">
        <f t="shared" si="32"/>
        <v>47249.93737660264</v>
      </c>
      <c r="J79" s="147">
        <f t="shared" si="33"/>
        <v>15147.751656521554</v>
      </c>
      <c r="K79" s="162">
        <f t="shared" si="34"/>
        <v>3311.82</v>
      </c>
      <c r="L79" s="149">
        <f t="shared" si="35"/>
        <v>18459.571656521555</v>
      </c>
      <c r="M79" s="146">
        <f t="shared" si="36"/>
        <v>6207.9520747481019</v>
      </c>
      <c r="N79" s="147">
        <f t="shared" si="37"/>
        <v>246.12762208695406</v>
      </c>
      <c r="O79" s="149">
        <f t="shared" si="38"/>
        <v>82.772694329974698</v>
      </c>
    </row>
    <row r="80" spans="2:15" x14ac:dyDescent="0.25">
      <c r="B80" s="93" t="s">
        <v>544</v>
      </c>
      <c r="C80" s="93" t="s">
        <v>545</v>
      </c>
      <c r="D80" s="141">
        <v>7.5</v>
      </c>
      <c r="E80" s="160">
        <v>4.5</v>
      </c>
      <c r="F80" s="161">
        <v>24362</v>
      </c>
      <c r="G80" s="93">
        <v>100</v>
      </c>
      <c r="H80" s="93">
        <v>20</v>
      </c>
      <c r="I80" s="146">
        <f t="shared" si="32"/>
        <v>6334.5949092090641</v>
      </c>
      <c r="J80" s="147">
        <f t="shared" si="33"/>
        <v>2240.4126793212108</v>
      </c>
      <c r="K80" s="162">
        <f t="shared" si="34"/>
        <v>487.24</v>
      </c>
      <c r="L80" s="149">
        <f t="shared" si="35"/>
        <v>2727.6526793212106</v>
      </c>
      <c r="M80" s="146">
        <f t="shared" si="36"/>
        <v>1230.0844637351702</v>
      </c>
      <c r="N80" s="147">
        <f t="shared" si="37"/>
        <v>27.276526793212106</v>
      </c>
      <c r="O80" s="149">
        <f t="shared" si="38"/>
        <v>12.300844637351702</v>
      </c>
    </row>
    <row r="81" spans="2:15" x14ac:dyDescent="0.25">
      <c r="B81" s="93" t="s">
        <v>546</v>
      </c>
      <c r="C81" s="93" t="s">
        <v>545</v>
      </c>
      <c r="D81" s="141">
        <v>9</v>
      </c>
      <c r="E81" s="160">
        <v>4.5</v>
      </c>
      <c r="F81" s="161">
        <v>29862</v>
      </c>
      <c r="G81" s="93">
        <v>100</v>
      </c>
      <c r="H81" s="93">
        <v>20</v>
      </c>
      <c r="I81" s="146">
        <f t="shared" si="32"/>
        <v>7764.7021253920484</v>
      </c>
      <c r="J81" s="147">
        <f t="shared" si="33"/>
        <v>2746.2114534886305</v>
      </c>
      <c r="K81" s="162">
        <f t="shared" si="34"/>
        <v>597.24</v>
      </c>
      <c r="L81" s="149">
        <f t="shared" si="35"/>
        <v>3343.4514534886302</v>
      </c>
      <c r="M81" s="146">
        <f t="shared" si="36"/>
        <v>1507.7900934266338</v>
      </c>
      <c r="N81" s="147">
        <f t="shared" si="37"/>
        <v>33.434514534886304</v>
      </c>
      <c r="O81" s="149">
        <f t="shared" si="38"/>
        <v>15.077900934266339</v>
      </c>
    </row>
    <row r="82" spans="2:15" x14ac:dyDescent="0.25">
      <c r="B82" s="93" t="s">
        <v>547</v>
      </c>
      <c r="C82" s="93" t="s">
        <v>545</v>
      </c>
      <c r="D82" s="141">
        <v>10.5</v>
      </c>
      <c r="E82" s="160">
        <v>4.5</v>
      </c>
      <c r="F82" s="161">
        <v>35812</v>
      </c>
      <c r="G82" s="93">
        <v>100</v>
      </c>
      <c r="H82" s="93">
        <v>20</v>
      </c>
      <c r="I82" s="146">
        <f t="shared" si="32"/>
        <v>9311.8181138081854</v>
      </c>
      <c r="J82" s="147">
        <f t="shared" si="33"/>
        <v>3293.3937637242921</v>
      </c>
      <c r="K82" s="162">
        <f t="shared" si="34"/>
        <v>716.24</v>
      </c>
      <c r="L82" s="149">
        <f t="shared" si="35"/>
        <v>4009.6337637242923</v>
      </c>
      <c r="M82" s="146">
        <f t="shared" si="36"/>
        <v>1808.217092820126</v>
      </c>
      <c r="N82" s="147">
        <f t="shared" si="37"/>
        <v>40.096337637242925</v>
      </c>
      <c r="O82" s="149">
        <f t="shared" si="38"/>
        <v>18.082170928201261</v>
      </c>
    </row>
    <row r="83" spans="2:15" x14ac:dyDescent="0.25">
      <c r="B83" s="93" t="s">
        <v>548</v>
      </c>
      <c r="C83" s="93" t="s">
        <v>545</v>
      </c>
      <c r="D83" s="141">
        <v>12</v>
      </c>
      <c r="E83" s="160">
        <v>4.5</v>
      </c>
      <c r="F83" s="161">
        <v>49579</v>
      </c>
      <c r="G83" s="93">
        <v>100</v>
      </c>
      <c r="H83" s="93">
        <v>20</v>
      </c>
      <c r="I83" s="146">
        <f t="shared" si="32"/>
        <v>12891.506485661121</v>
      </c>
      <c r="J83" s="147">
        <f t="shared" si="33"/>
        <v>4559.454077172084</v>
      </c>
      <c r="K83" s="162">
        <f t="shared" si="34"/>
        <v>991.58</v>
      </c>
      <c r="L83" s="149">
        <f t="shared" si="35"/>
        <v>5551.0340771720839</v>
      </c>
      <c r="M83" s="146">
        <f t="shared" si="36"/>
        <v>2503.3395299041954</v>
      </c>
      <c r="N83" s="147">
        <f t="shared" si="37"/>
        <v>55.510340771720841</v>
      </c>
      <c r="O83" s="149">
        <f t="shared" si="38"/>
        <v>25.033395299041953</v>
      </c>
    </row>
    <row r="84" spans="2:15" x14ac:dyDescent="0.25">
      <c r="B84" s="93" t="s">
        <v>549</v>
      </c>
      <c r="C84" s="93" t="s">
        <v>550</v>
      </c>
      <c r="D84" s="141">
        <v>15</v>
      </c>
      <c r="E84" s="160">
        <v>5</v>
      </c>
      <c r="F84" s="161">
        <v>39255</v>
      </c>
      <c r="G84" s="93">
        <v>100</v>
      </c>
      <c r="H84" s="93">
        <v>20</v>
      </c>
      <c r="I84" s="146">
        <f t="shared" si="32"/>
        <v>10207.065231138733</v>
      </c>
      <c r="J84" s="147">
        <f t="shared" si="33"/>
        <v>3610.0237963530967</v>
      </c>
      <c r="K84" s="162">
        <f t="shared" si="34"/>
        <v>785.1</v>
      </c>
      <c r="L84" s="149">
        <f t="shared" si="35"/>
        <v>4395.1237963530966</v>
      </c>
      <c r="M84" s="146">
        <f t="shared" si="36"/>
        <v>1450.3239250469192</v>
      </c>
      <c r="N84" s="147">
        <f t="shared" si="37"/>
        <v>43.951237963530964</v>
      </c>
      <c r="O84" s="149">
        <f t="shared" si="38"/>
        <v>14.503239250469191</v>
      </c>
    </row>
    <row r="85" spans="2:15" x14ac:dyDescent="0.25">
      <c r="B85" s="93" t="s">
        <v>551</v>
      </c>
      <c r="C85" s="93" t="s">
        <v>550</v>
      </c>
      <c r="D85" s="141">
        <v>20</v>
      </c>
      <c r="E85" s="160">
        <v>5</v>
      </c>
      <c r="F85" s="161">
        <v>62082</v>
      </c>
      <c r="G85" s="93">
        <v>100</v>
      </c>
      <c r="H85" s="93">
        <v>20</v>
      </c>
      <c r="I85" s="146">
        <f t="shared" si="32"/>
        <v>16142.530217285819</v>
      </c>
      <c r="J85" s="147">
        <f t="shared" si="33"/>
        <v>5709.272635974854</v>
      </c>
      <c r="K85" s="162">
        <f t="shared" si="34"/>
        <v>1241.6400000000001</v>
      </c>
      <c r="L85" s="149">
        <f t="shared" si="35"/>
        <v>6950.9126359748543</v>
      </c>
      <c r="M85" s="146">
        <f t="shared" si="36"/>
        <v>2293.6953232648793</v>
      </c>
      <c r="N85" s="147">
        <f t="shared" si="37"/>
        <v>69.509126359748549</v>
      </c>
      <c r="O85" s="149">
        <f t="shared" si="38"/>
        <v>22.936953232648793</v>
      </c>
    </row>
    <row r="86" spans="2:15" x14ac:dyDescent="0.25">
      <c r="B86" s="93" t="s">
        <v>552</v>
      </c>
      <c r="C86" s="93" t="s">
        <v>550</v>
      </c>
      <c r="D86" s="141">
        <v>30</v>
      </c>
      <c r="E86" s="160">
        <v>5</v>
      </c>
      <c r="F86" s="161">
        <v>81486</v>
      </c>
      <c r="G86" s="93">
        <v>100</v>
      </c>
      <c r="H86" s="93">
        <v>20</v>
      </c>
      <c r="I86" s="146">
        <f t="shared" si="32"/>
        <v>21187.948475979389</v>
      </c>
      <c r="J86" s="147">
        <f t="shared" si="33"/>
        <v>7493.7307112375092</v>
      </c>
      <c r="K86" s="162">
        <f t="shared" si="34"/>
        <v>1629.72</v>
      </c>
      <c r="L86" s="149">
        <f t="shared" si="35"/>
        <v>9123.4507112375086</v>
      </c>
      <c r="M86" s="146">
        <f t="shared" si="36"/>
        <v>3010.5998052827217</v>
      </c>
      <c r="N86" s="147">
        <f t="shared" si="37"/>
        <v>91.234507112375084</v>
      </c>
      <c r="O86" s="149">
        <f t="shared" si="38"/>
        <v>30.105998052827218</v>
      </c>
    </row>
    <row r="87" spans="2:15" x14ac:dyDescent="0.25">
      <c r="B87" s="93" t="s">
        <v>553</v>
      </c>
      <c r="C87" s="93" t="s">
        <v>550</v>
      </c>
      <c r="D87" s="141">
        <v>15</v>
      </c>
      <c r="E87" s="160">
        <v>5</v>
      </c>
      <c r="F87" s="161">
        <v>36089</v>
      </c>
      <c r="G87" s="93">
        <v>100</v>
      </c>
      <c r="H87" s="93">
        <v>20</v>
      </c>
      <c r="I87" s="146">
        <f t="shared" si="32"/>
        <v>9383.8435136050375</v>
      </c>
      <c r="J87" s="147">
        <f t="shared" si="33"/>
        <v>3318.8676292596333</v>
      </c>
      <c r="K87" s="162">
        <f t="shared" si="34"/>
        <v>721.78</v>
      </c>
      <c r="L87" s="149">
        <f t="shared" si="35"/>
        <v>4040.6476292596335</v>
      </c>
      <c r="M87" s="146">
        <f t="shared" si="36"/>
        <v>1333.3521877727235</v>
      </c>
      <c r="N87" s="147">
        <f t="shared" si="37"/>
        <v>40.406476292596338</v>
      </c>
      <c r="O87" s="149">
        <f t="shared" si="38"/>
        <v>13.333521877727234</v>
      </c>
    </row>
    <row r="88" spans="2:15" x14ac:dyDescent="0.25">
      <c r="B88" s="93" t="s">
        <v>554</v>
      </c>
      <c r="C88" s="93" t="s">
        <v>550</v>
      </c>
      <c r="D88" s="141">
        <v>20</v>
      </c>
      <c r="E88" s="160">
        <v>5</v>
      </c>
      <c r="F88" s="161">
        <v>54601</v>
      </c>
      <c r="G88" s="93">
        <v>100</v>
      </c>
      <c r="H88" s="93">
        <v>20</v>
      </c>
      <c r="I88" s="146">
        <f t="shared" si="32"/>
        <v>14197.324383783111</v>
      </c>
      <c r="J88" s="147">
        <f t="shared" si="33"/>
        <v>5021.2943396936807</v>
      </c>
      <c r="K88" s="162">
        <f t="shared" si="34"/>
        <v>1092.02</v>
      </c>
      <c r="L88" s="149">
        <f t="shared" si="35"/>
        <v>6113.3143396936812</v>
      </c>
      <c r="M88" s="146">
        <f t="shared" si="36"/>
        <v>2017.3006402111023</v>
      </c>
      <c r="N88" s="147">
        <f t="shared" si="37"/>
        <v>61.133143396936809</v>
      </c>
      <c r="O88" s="149">
        <f t="shared" si="38"/>
        <v>20.173006402111024</v>
      </c>
    </row>
    <row r="89" spans="2:15" x14ac:dyDescent="0.25">
      <c r="B89" s="93" t="s">
        <v>555</v>
      </c>
      <c r="C89" s="93" t="s">
        <v>550</v>
      </c>
      <c r="D89" s="141">
        <v>30</v>
      </c>
      <c r="E89" s="160">
        <v>5</v>
      </c>
      <c r="F89" s="161">
        <v>73558</v>
      </c>
      <c r="G89" s="93">
        <v>100</v>
      </c>
      <c r="H89" s="93">
        <v>20</v>
      </c>
      <c r="I89" s="146">
        <f t="shared" si="32"/>
        <v>19126.513928725079</v>
      </c>
      <c r="J89" s="147">
        <f t="shared" si="33"/>
        <v>6764.6447691285457</v>
      </c>
      <c r="K89" s="162">
        <f t="shared" si="34"/>
        <v>1471.16</v>
      </c>
      <c r="L89" s="149">
        <f t="shared" si="35"/>
        <v>8235.8047691285465</v>
      </c>
      <c r="M89" s="146">
        <f t="shared" si="36"/>
        <v>2717.6901612177116</v>
      </c>
      <c r="N89" s="147">
        <f t="shared" si="37"/>
        <v>82.358047691285464</v>
      </c>
      <c r="O89" s="149">
        <f t="shared" si="38"/>
        <v>27.176901612177115</v>
      </c>
    </row>
    <row r="90" spans="2:15" x14ac:dyDescent="0.25">
      <c r="B90" s="93" t="s">
        <v>556</v>
      </c>
      <c r="C90" s="93" t="s">
        <v>557</v>
      </c>
      <c r="D90" s="141">
        <v>30</v>
      </c>
      <c r="E90" s="160">
        <v>5</v>
      </c>
      <c r="F90" s="161">
        <v>45804</v>
      </c>
      <c r="G90" s="93">
        <v>100</v>
      </c>
      <c r="H90" s="93">
        <v>20</v>
      </c>
      <c r="I90" s="146">
        <f t="shared" si="32"/>
        <v>7294.4202942654001</v>
      </c>
      <c r="J90" s="147">
        <f t="shared" si="33"/>
        <v>4300.9710127117332</v>
      </c>
      <c r="K90" s="162">
        <f t="shared" si="34"/>
        <v>916.08</v>
      </c>
      <c r="L90" s="149">
        <f t="shared" si="35"/>
        <v>5217.0510127117332</v>
      </c>
      <c r="M90" s="146">
        <f t="shared" si="36"/>
        <v>1788.9093013776624</v>
      </c>
      <c r="N90" s="147">
        <f t="shared" si="37"/>
        <v>52.170510127117332</v>
      </c>
      <c r="O90" s="149">
        <f t="shared" si="38"/>
        <v>17.889093013776623</v>
      </c>
    </row>
    <row r="91" spans="2:15" x14ac:dyDescent="0.25">
      <c r="B91" s="93" t="s">
        <v>558</v>
      </c>
      <c r="C91" s="93" t="s">
        <v>476</v>
      </c>
      <c r="D91" s="141">
        <v>30</v>
      </c>
      <c r="E91" s="160">
        <v>6.5</v>
      </c>
      <c r="F91" s="161">
        <v>12360</v>
      </c>
      <c r="G91" s="93">
        <v>75</v>
      </c>
      <c r="H91" s="93">
        <v>20</v>
      </c>
      <c r="I91" s="146">
        <f t="shared" si="32"/>
        <v>2465.1429978671727</v>
      </c>
      <c r="J91" s="147">
        <f t="shared" si="33"/>
        <v>1151.0526829292348</v>
      </c>
      <c r="K91" s="162">
        <f t="shared" si="34"/>
        <v>247.20000000000002</v>
      </c>
      <c r="L91" s="149">
        <f t="shared" si="35"/>
        <v>1398.2526829292349</v>
      </c>
      <c r="M91" s="146">
        <f t="shared" si="36"/>
        <v>429.23088975908706</v>
      </c>
      <c r="N91" s="147">
        <f t="shared" si="37"/>
        <v>18.643369105723131</v>
      </c>
      <c r="O91" s="149">
        <f t="shared" si="38"/>
        <v>5.7230785301211604</v>
      </c>
    </row>
    <row r="92" spans="2:15" x14ac:dyDescent="0.25">
      <c r="B92" s="93" t="s">
        <v>559</v>
      </c>
      <c r="C92" s="93" t="s">
        <v>476</v>
      </c>
      <c r="D92" s="141">
        <v>30</v>
      </c>
      <c r="E92" s="160">
        <v>6.5</v>
      </c>
      <c r="F92" s="161">
        <v>18950</v>
      </c>
      <c r="G92" s="93">
        <v>75</v>
      </c>
      <c r="H92" s="93">
        <v>20</v>
      </c>
      <c r="I92" s="146">
        <f t="shared" si="32"/>
        <v>3779.4870396102688</v>
      </c>
      <c r="J92" s="147">
        <f t="shared" si="33"/>
        <v>1764.7611926787217</v>
      </c>
      <c r="K92" s="162">
        <f t="shared" si="34"/>
        <v>379</v>
      </c>
      <c r="L92" s="149">
        <f t="shared" si="35"/>
        <v>2143.7611926787217</v>
      </c>
      <c r="M92" s="146">
        <f t="shared" si="36"/>
        <v>658.0845761274029</v>
      </c>
      <c r="N92" s="147">
        <f t="shared" si="37"/>
        <v>28.583482569049622</v>
      </c>
      <c r="O92" s="149">
        <f t="shared" si="38"/>
        <v>8.7744610150320383</v>
      </c>
    </row>
    <row r="93" spans="2:15" x14ac:dyDescent="0.25">
      <c r="B93" s="93" t="s">
        <v>560</v>
      </c>
      <c r="C93" s="93" t="s">
        <v>476</v>
      </c>
      <c r="D93" s="141">
        <v>45</v>
      </c>
      <c r="E93" s="160">
        <v>6.5</v>
      </c>
      <c r="F93" s="161">
        <v>27480</v>
      </c>
      <c r="G93" s="93">
        <v>75</v>
      </c>
      <c r="H93" s="93">
        <v>20</v>
      </c>
      <c r="I93" s="146">
        <f t="shared" si="32"/>
        <v>5480.7548205008015</v>
      </c>
      <c r="J93" s="147">
        <f t="shared" si="33"/>
        <v>2559.1365474834442</v>
      </c>
      <c r="K93" s="162">
        <f t="shared" si="34"/>
        <v>549.6</v>
      </c>
      <c r="L93" s="149">
        <f t="shared" si="35"/>
        <v>3108.7365474834442</v>
      </c>
      <c r="M93" s="146">
        <f t="shared" si="36"/>
        <v>954.30945393039747</v>
      </c>
      <c r="N93" s="147">
        <f t="shared" si="37"/>
        <v>41.449820633112587</v>
      </c>
      <c r="O93" s="149">
        <f t="shared" si="38"/>
        <v>12.7241260524053</v>
      </c>
    </row>
    <row r="94" spans="2:15" x14ac:dyDescent="0.25">
      <c r="B94" s="93" t="s">
        <v>561</v>
      </c>
      <c r="C94" s="93" t="s">
        <v>476</v>
      </c>
      <c r="D94" s="141">
        <v>60</v>
      </c>
      <c r="E94" s="160">
        <v>6.5</v>
      </c>
      <c r="F94" s="161">
        <v>29880</v>
      </c>
      <c r="G94" s="93">
        <v>75</v>
      </c>
      <c r="H94" s="93">
        <v>20</v>
      </c>
      <c r="I94" s="146">
        <f t="shared" si="32"/>
        <v>5959.4233637759799</v>
      </c>
      <c r="J94" s="147">
        <f t="shared" si="33"/>
        <v>2782.6419228095097</v>
      </c>
      <c r="K94" s="162">
        <f t="shared" si="34"/>
        <v>597.6</v>
      </c>
      <c r="L94" s="149">
        <f t="shared" si="35"/>
        <v>3380.2419228095096</v>
      </c>
      <c r="M94" s="146">
        <f t="shared" si="36"/>
        <v>1037.6552577671132</v>
      </c>
      <c r="N94" s="147">
        <f t="shared" si="37"/>
        <v>45.069892304126796</v>
      </c>
      <c r="O94" s="149">
        <f t="shared" si="38"/>
        <v>13.835403436894843</v>
      </c>
    </row>
    <row r="95" spans="2:15" x14ac:dyDescent="0.25">
      <c r="B95" s="93" t="s">
        <v>562</v>
      </c>
      <c r="C95" s="93" t="s">
        <v>476</v>
      </c>
      <c r="D95" s="141">
        <v>45</v>
      </c>
      <c r="E95" s="160">
        <v>6.5</v>
      </c>
      <c r="F95" s="161">
        <v>19563</v>
      </c>
      <c r="G95" s="93">
        <v>75</v>
      </c>
      <c r="H95" s="93">
        <v>20</v>
      </c>
      <c r="I95" s="146">
        <f t="shared" si="32"/>
        <v>3901.7469633718038</v>
      </c>
      <c r="J95" s="147">
        <f t="shared" si="33"/>
        <v>1821.8481906265874</v>
      </c>
      <c r="K95" s="162">
        <f t="shared" si="34"/>
        <v>391.26</v>
      </c>
      <c r="L95" s="149">
        <f t="shared" si="35"/>
        <v>2213.1081906265872</v>
      </c>
      <c r="M95" s="146">
        <f t="shared" si="36"/>
        <v>679.37248352403071</v>
      </c>
      <c r="N95" s="147">
        <f t="shared" si="37"/>
        <v>29.508109208354497</v>
      </c>
      <c r="O95" s="149">
        <f t="shared" si="38"/>
        <v>9.0582997803204091</v>
      </c>
    </row>
    <row r="96" spans="2:15" x14ac:dyDescent="0.25">
      <c r="B96" s="93" t="s">
        <v>563</v>
      </c>
      <c r="C96" s="93" t="s">
        <v>476</v>
      </c>
      <c r="D96" s="141">
        <v>60</v>
      </c>
      <c r="E96" s="160">
        <v>6.5</v>
      </c>
      <c r="F96" s="161">
        <v>28149</v>
      </c>
      <c r="G96" s="93">
        <v>75</v>
      </c>
      <c r="H96" s="93">
        <v>20</v>
      </c>
      <c r="I96" s="146">
        <f t="shared" si="32"/>
        <v>5614.1836769387573</v>
      </c>
      <c r="J96" s="147">
        <f t="shared" si="33"/>
        <v>2621.4386708555849</v>
      </c>
      <c r="K96" s="162">
        <f t="shared" si="34"/>
        <v>562.98</v>
      </c>
      <c r="L96" s="149">
        <f t="shared" si="35"/>
        <v>3184.4186708555849</v>
      </c>
      <c r="M96" s="146">
        <f t="shared" si="36"/>
        <v>977.54209674988192</v>
      </c>
      <c r="N96" s="147">
        <f t="shared" si="37"/>
        <v>42.458915611407797</v>
      </c>
      <c r="O96" s="149">
        <f t="shared" si="38"/>
        <v>13.03389462333176</v>
      </c>
    </row>
    <row r="97" spans="2:15" x14ac:dyDescent="0.25">
      <c r="B97" s="93" t="s">
        <v>564</v>
      </c>
      <c r="C97" s="93" t="s">
        <v>476</v>
      </c>
      <c r="D97" s="141">
        <v>60</v>
      </c>
      <c r="E97" s="160">
        <v>6.5</v>
      </c>
      <c r="F97" s="161">
        <v>43029</v>
      </c>
      <c r="G97" s="93">
        <v>75</v>
      </c>
      <c r="H97" s="93">
        <v>20</v>
      </c>
      <c r="I97" s="146">
        <f t="shared" si="32"/>
        <v>8581.9286452448687</v>
      </c>
      <c r="J97" s="147">
        <f t="shared" si="33"/>
        <v>4007.171997877188</v>
      </c>
      <c r="K97" s="162">
        <f t="shared" si="34"/>
        <v>860.58</v>
      </c>
      <c r="L97" s="149">
        <f t="shared" si="35"/>
        <v>4867.7519978771879</v>
      </c>
      <c r="M97" s="146">
        <f t="shared" si="36"/>
        <v>1494.2860805375208</v>
      </c>
      <c r="N97" s="147">
        <f t="shared" si="37"/>
        <v>64.903359971695835</v>
      </c>
      <c r="O97" s="149">
        <f t="shared" si="38"/>
        <v>19.923814407166944</v>
      </c>
    </row>
    <row r="98" spans="2:15" x14ac:dyDescent="0.25">
      <c r="B98" s="93" t="s">
        <v>565</v>
      </c>
      <c r="C98" s="93" t="s">
        <v>476</v>
      </c>
      <c r="D98" s="141">
        <v>85</v>
      </c>
      <c r="E98" s="160">
        <v>6.5</v>
      </c>
      <c r="F98" s="161">
        <v>88783</v>
      </c>
      <c r="G98" s="93">
        <v>75</v>
      </c>
      <c r="H98" s="93">
        <v>20</v>
      </c>
      <c r="I98" s="146">
        <f t="shared" si="32"/>
        <v>17707.345532333427</v>
      </c>
      <c r="J98" s="147">
        <f t="shared" si="33"/>
        <v>8268.1157239891782</v>
      </c>
      <c r="K98" s="162">
        <f t="shared" si="34"/>
        <v>1775.66</v>
      </c>
      <c r="L98" s="149">
        <f t="shared" si="35"/>
        <v>10043.775723989178</v>
      </c>
      <c r="M98" s="146">
        <f t="shared" si="36"/>
        <v>3083.2043758479795</v>
      </c>
      <c r="N98" s="147">
        <f t="shared" si="37"/>
        <v>133.91700965318904</v>
      </c>
      <c r="O98" s="149">
        <f t="shared" si="38"/>
        <v>41.109391677973058</v>
      </c>
    </row>
    <row r="99" spans="2:15" x14ac:dyDescent="0.25">
      <c r="B99" s="93" t="s">
        <v>566</v>
      </c>
      <c r="C99" s="93" t="s">
        <v>476</v>
      </c>
      <c r="D99" s="141">
        <v>110</v>
      </c>
      <c r="E99" s="160">
        <v>6.5</v>
      </c>
      <c r="F99" s="161">
        <v>133920</v>
      </c>
      <c r="G99" s="93">
        <v>75</v>
      </c>
      <c r="H99" s="93">
        <v>20</v>
      </c>
      <c r="I99" s="146">
        <f t="shared" si="32"/>
        <v>26709.704714754997</v>
      </c>
      <c r="J99" s="147">
        <f t="shared" si="33"/>
        <v>12471.599943194426</v>
      </c>
      <c r="K99" s="162">
        <f t="shared" si="34"/>
        <v>2678.4</v>
      </c>
      <c r="L99" s="149">
        <f t="shared" si="35"/>
        <v>15149.999943194425</v>
      </c>
      <c r="M99" s="146">
        <f t="shared" si="36"/>
        <v>4650.695854088749</v>
      </c>
      <c r="N99" s="147">
        <f t="shared" si="37"/>
        <v>201.99999924259234</v>
      </c>
      <c r="O99" s="149">
        <f t="shared" si="38"/>
        <v>62.009278054516656</v>
      </c>
    </row>
    <row r="100" spans="2:15" x14ac:dyDescent="0.25">
      <c r="B100" s="93" t="s">
        <v>133</v>
      </c>
      <c r="C100" s="93" t="s">
        <v>508</v>
      </c>
      <c r="D100" s="141">
        <v>50</v>
      </c>
      <c r="E100" s="160">
        <v>7</v>
      </c>
      <c r="F100" s="161">
        <v>48100</v>
      </c>
      <c r="G100" s="93">
        <v>75</v>
      </c>
      <c r="H100" s="93">
        <v>20</v>
      </c>
      <c r="I100" s="146">
        <f t="shared" si="32"/>
        <v>9593.3153881400485</v>
      </c>
      <c r="J100" s="147">
        <f t="shared" si="33"/>
        <v>4479.4202304932196</v>
      </c>
      <c r="K100" s="162">
        <f t="shared" si="34"/>
        <v>962</v>
      </c>
      <c r="L100" s="149">
        <f t="shared" si="35"/>
        <v>5441.4202304932196</v>
      </c>
      <c r="M100" s="146">
        <f t="shared" si="36"/>
        <v>2566.6950138861821</v>
      </c>
      <c r="N100" s="147">
        <f t="shared" si="37"/>
        <v>72.55226973990959</v>
      </c>
      <c r="O100" s="149">
        <f t="shared" si="38"/>
        <v>34.222600185149098</v>
      </c>
    </row>
    <row r="101" spans="2:15" x14ac:dyDescent="0.25">
      <c r="B101" s="93" t="s">
        <v>567</v>
      </c>
      <c r="C101" s="93" t="s">
        <v>508</v>
      </c>
      <c r="D101" s="141">
        <v>50</v>
      </c>
      <c r="E101" s="160">
        <v>7</v>
      </c>
      <c r="F101" s="161">
        <v>67300</v>
      </c>
      <c r="G101" s="93">
        <v>75</v>
      </c>
      <c r="H101" s="93">
        <v>20</v>
      </c>
      <c r="I101" s="146">
        <f t="shared" si="32"/>
        <v>13422.663734341482</v>
      </c>
      <c r="J101" s="147">
        <f t="shared" si="33"/>
        <v>6267.4632331017383</v>
      </c>
      <c r="K101" s="162">
        <f t="shared" si="34"/>
        <v>1346</v>
      </c>
      <c r="L101" s="149">
        <f t="shared" si="35"/>
        <v>7613.4632331017383</v>
      </c>
      <c r="M101" s="146">
        <f t="shared" si="36"/>
        <v>3591.2385537326409</v>
      </c>
      <c r="N101" s="147">
        <f t="shared" si="37"/>
        <v>101.51284310802318</v>
      </c>
      <c r="O101" s="149">
        <f t="shared" si="38"/>
        <v>47.883180716435213</v>
      </c>
    </row>
    <row r="102" spans="2:15" x14ac:dyDescent="0.25">
      <c r="B102" s="93" t="s">
        <v>568</v>
      </c>
      <c r="C102" s="93" t="s">
        <v>508</v>
      </c>
      <c r="D102" s="141">
        <v>50</v>
      </c>
      <c r="E102" s="160">
        <v>7</v>
      </c>
      <c r="F102" s="161">
        <v>133450</v>
      </c>
      <c r="G102" s="93">
        <v>75</v>
      </c>
      <c r="H102" s="93">
        <v>20</v>
      </c>
      <c r="I102" s="146">
        <f t="shared" si="32"/>
        <v>26615.965458363607</v>
      </c>
      <c r="J102" s="147">
        <f t="shared" si="33"/>
        <v>12427.830140526406</v>
      </c>
      <c r="K102" s="162">
        <f t="shared" si="34"/>
        <v>2669</v>
      </c>
      <c r="L102" s="149">
        <f t="shared" si="35"/>
        <v>15096.830140526406</v>
      </c>
      <c r="M102" s="146">
        <f t="shared" si="36"/>
        <v>7121.1112183598962</v>
      </c>
      <c r="N102" s="147">
        <f t="shared" si="37"/>
        <v>201.29106854035209</v>
      </c>
      <c r="O102" s="149">
        <f t="shared" si="38"/>
        <v>94.948149578131947</v>
      </c>
    </row>
    <row r="103" spans="2:15" x14ac:dyDescent="0.25">
      <c r="B103" s="93" t="s">
        <v>569</v>
      </c>
      <c r="C103" s="93" t="s">
        <v>508</v>
      </c>
      <c r="D103" s="141">
        <v>50</v>
      </c>
      <c r="E103" s="160">
        <v>7</v>
      </c>
      <c r="F103" s="161">
        <v>147100</v>
      </c>
      <c r="G103" s="93">
        <v>75</v>
      </c>
      <c r="H103" s="93">
        <v>20</v>
      </c>
      <c r="I103" s="146">
        <f t="shared" si="32"/>
        <v>29338.392798241188</v>
      </c>
      <c r="J103" s="147">
        <f t="shared" si="33"/>
        <v>13699.016962693402</v>
      </c>
      <c r="K103" s="162">
        <f t="shared" si="34"/>
        <v>2942</v>
      </c>
      <c r="L103" s="149">
        <f t="shared" si="35"/>
        <v>16641.0169626934</v>
      </c>
      <c r="M103" s="146">
        <f t="shared" si="36"/>
        <v>7849.4976412194883</v>
      </c>
      <c r="N103" s="147">
        <f t="shared" si="37"/>
        <v>221.88022616924533</v>
      </c>
      <c r="O103" s="149">
        <f t="shared" si="38"/>
        <v>104.65996854959317</v>
      </c>
    </row>
    <row r="104" spans="2:15" x14ac:dyDescent="0.25">
      <c r="B104" s="93" t="s">
        <v>570</v>
      </c>
      <c r="C104" s="93" t="s">
        <v>508</v>
      </c>
      <c r="D104" s="141">
        <v>50</v>
      </c>
      <c r="E104" s="160">
        <v>7</v>
      </c>
      <c r="F104" s="161">
        <v>154050</v>
      </c>
      <c r="G104" s="93">
        <v>75</v>
      </c>
      <c r="H104" s="93">
        <v>20</v>
      </c>
      <c r="I104" s="146">
        <f t="shared" si="32"/>
        <v>30724.537121475561</v>
      </c>
      <c r="J104" s="147">
        <f t="shared" si="33"/>
        <v>14346.251278741798</v>
      </c>
      <c r="K104" s="162">
        <f t="shared" si="34"/>
        <v>3081</v>
      </c>
      <c r="L104" s="149">
        <f t="shared" si="35"/>
        <v>17427.251278741798</v>
      </c>
      <c r="M104" s="146">
        <f t="shared" si="36"/>
        <v>8220.3610579868255</v>
      </c>
      <c r="N104" s="147">
        <f t="shared" si="37"/>
        <v>232.36335038322397</v>
      </c>
      <c r="O104" s="149">
        <f t="shared" si="38"/>
        <v>109.60481410649101</v>
      </c>
    </row>
    <row r="105" spans="2:15" x14ac:dyDescent="0.25">
      <c r="B105" s="93" t="s">
        <v>571</v>
      </c>
      <c r="C105" s="93" t="s">
        <v>550</v>
      </c>
      <c r="D105" s="141">
        <v>20</v>
      </c>
      <c r="E105" s="160">
        <v>5</v>
      </c>
      <c r="F105" s="161">
        <v>47938</v>
      </c>
      <c r="G105" s="93">
        <v>100</v>
      </c>
      <c r="H105" s="93">
        <v>20</v>
      </c>
      <c r="I105" s="146">
        <f t="shared" si="32"/>
        <v>12464.814496250889</v>
      </c>
      <c r="J105" s="147">
        <f t="shared" si="33"/>
        <v>4408.542115643224</v>
      </c>
      <c r="K105" s="162">
        <f t="shared" si="34"/>
        <v>958.76</v>
      </c>
      <c r="L105" s="149">
        <f t="shared" si="35"/>
        <v>5367.3021156432242</v>
      </c>
      <c r="M105" s="146">
        <f t="shared" si="36"/>
        <v>1771.1279663456685</v>
      </c>
      <c r="N105" s="147">
        <f t="shared" si="37"/>
        <v>53.673021156432242</v>
      </c>
      <c r="O105" s="149">
        <f t="shared" si="38"/>
        <v>17.711279663456686</v>
      </c>
    </row>
    <row r="106" spans="2:15" x14ac:dyDescent="0.25">
      <c r="B106" s="93" t="s">
        <v>141</v>
      </c>
      <c r="C106" s="93" t="s">
        <v>550</v>
      </c>
      <c r="D106" s="141">
        <v>30</v>
      </c>
      <c r="E106" s="160">
        <v>5</v>
      </c>
      <c r="F106" s="161">
        <v>130773</v>
      </c>
      <c r="G106" s="93">
        <v>100</v>
      </c>
      <c r="H106" s="93">
        <v>20</v>
      </c>
      <c r="I106" s="146">
        <f t="shared" si="32"/>
        <v>34003.52926943588</v>
      </c>
      <c r="J106" s="147">
        <f t="shared" si="33"/>
        <v>12026.331471671978</v>
      </c>
      <c r="K106" s="162">
        <f t="shared" si="34"/>
        <v>2615.46</v>
      </c>
      <c r="L106" s="149">
        <f t="shared" si="35"/>
        <v>14641.791471671979</v>
      </c>
      <c r="M106" s="146">
        <f t="shared" si="36"/>
        <v>4831.5682244341033</v>
      </c>
      <c r="N106" s="147">
        <f t="shared" si="37"/>
        <v>146.41791471671979</v>
      </c>
      <c r="O106" s="149">
        <f t="shared" si="38"/>
        <v>48.315682244341033</v>
      </c>
    </row>
    <row r="107" spans="2:15" x14ac:dyDescent="0.25">
      <c r="B107" s="93" t="s">
        <v>572</v>
      </c>
      <c r="C107" s="93" t="s">
        <v>550</v>
      </c>
      <c r="D107" s="141">
        <v>30</v>
      </c>
      <c r="E107" s="160">
        <v>5</v>
      </c>
      <c r="F107" s="161">
        <v>413764</v>
      </c>
      <c r="G107" s="93">
        <v>100</v>
      </c>
      <c r="H107" s="93">
        <v>20</v>
      </c>
      <c r="I107" s="146">
        <f t="shared" si="32"/>
        <v>107586.70585395202</v>
      </c>
      <c r="J107" s="147">
        <f t="shared" si="33"/>
        <v>38051.149817201447</v>
      </c>
      <c r="K107" s="162">
        <f t="shared" si="34"/>
        <v>8275.2800000000007</v>
      </c>
      <c r="L107" s="149">
        <f t="shared" si="35"/>
        <v>46326.429817201446</v>
      </c>
      <c r="M107" s="146">
        <f t="shared" si="36"/>
        <v>15287.016393405003</v>
      </c>
      <c r="N107" s="147">
        <f t="shared" si="37"/>
        <v>463.26429817201443</v>
      </c>
      <c r="O107" s="149">
        <f t="shared" si="38"/>
        <v>152.87016393405003</v>
      </c>
    </row>
    <row r="108" spans="2:15" x14ac:dyDescent="0.25">
      <c r="B108" s="93" t="s">
        <v>573</v>
      </c>
      <c r="C108" s="93" t="s">
        <v>550</v>
      </c>
      <c r="D108" s="141">
        <v>30</v>
      </c>
      <c r="E108" s="160">
        <v>5</v>
      </c>
      <c r="F108" s="161">
        <v>282750</v>
      </c>
      <c r="G108" s="93">
        <v>100</v>
      </c>
      <c r="H108" s="93">
        <v>20</v>
      </c>
      <c r="I108" s="146">
        <f t="shared" si="32"/>
        <v>73520.511886497945</v>
      </c>
      <c r="J108" s="147">
        <f t="shared" si="33"/>
        <v>26002.655162879582</v>
      </c>
      <c r="K108" s="162">
        <f t="shared" si="34"/>
        <v>5655</v>
      </c>
      <c r="L108" s="149">
        <f t="shared" si="35"/>
        <v>31657.655162879582</v>
      </c>
      <c r="M108" s="146">
        <f t="shared" si="36"/>
        <v>10446.544129589005</v>
      </c>
      <c r="N108" s="147">
        <f t="shared" si="37"/>
        <v>316.57655162879581</v>
      </c>
      <c r="O108" s="149">
        <f t="shared" si="38"/>
        <v>104.46544129589005</v>
      </c>
    </row>
    <row r="109" spans="2:15" x14ac:dyDescent="0.25">
      <c r="B109" s="93" t="s">
        <v>574</v>
      </c>
      <c r="C109" s="93" t="s">
        <v>550</v>
      </c>
      <c r="D109" s="141">
        <v>40</v>
      </c>
      <c r="E109" s="160">
        <v>5</v>
      </c>
      <c r="F109" s="161">
        <v>182112</v>
      </c>
      <c r="G109" s="93">
        <v>100</v>
      </c>
      <c r="H109" s="93">
        <v>20</v>
      </c>
      <c r="I109" s="146">
        <f t="shared" si="32"/>
        <v>47352.67006427556</v>
      </c>
      <c r="J109" s="147">
        <f t="shared" si="33"/>
        <v>16747.641156577636</v>
      </c>
      <c r="K109" s="162">
        <f t="shared" si="34"/>
        <v>3642.2400000000002</v>
      </c>
      <c r="L109" s="149">
        <f t="shared" si="35"/>
        <v>20389.881156577638</v>
      </c>
      <c r="M109" s="146">
        <f t="shared" si="36"/>
        <v>6728.3502901068541</v>
      </c>
      <c r="N109" s="147">
        <f t="shared" si="37"/>
        <v>203.89881156577638</v>
      </c>
      <c r="O109" s="149">
        <f t="shared" si="38"/>
        <v>67.283502901068545</v>
      </c>
    </row>
    <row r="110" spans="2:15" x14ac:dyDescent="0.25">
      <c r="B110" s="93" t="s">
        <v>575</v>
      </c>
      <c r="C110" s="93" t="s">
        <v>550</v>
      </c>
      <c r="D110" s="141">
        <v>40</v>
      </c>
      <c r="E110" s="160">
        <v>5</v>
      </c>
      <c r="F110" s="161">
        <v>462821</v>
      </c>
      <c r="G110" s="93">
        <v>100</v>
      </c>
      <c r="H110" s="93">
        <v>20</v>
      </c>
      <c r="I110" s="146">
        <f t="shared" si="32"/>
        <v>120342.48216382269</v>
      </c>
      <c r="J110" s="147">
        <f t="shared" si="33"/>
        <v>42562.598992534367</v>
      </c>
      <c r="K110" s="162">
        <f t="shared" si="34"/>
        <v>9256.42</v>
      </c>
      <c r="L110" s="149">
        <f t="shared" si="35"/>
        <v>51819.018992534366</v>
      </c>
      <c r="M110" s="146">
        <f t="shared" si="36"/>
        <v>17099.48718161101</v>
      </c>
      <c r="N110" s="147">
        <f t="shared" si="37"/>
        <v>518.1901899253437</v>
      </c>
      <c r="O110" s="149">
        <f t="shared" si="38"/>
        <v>170.99487181611011</v>
      </c>
    </row>
    <row r="111" spans="2:15" x14ac:dyDescent="0.25">
      <c r="B111" s="93" t="s">
        <v>576</v>
      </c>
      <c r="C111" s="93" t="s">
        <v>550</v>
      </c>
      <c r="D111" s="141">
        <v>40</v>
      </c>
      <c r="E111" s="160">
        <v>5</v>
      </c>
      <c r="F111" s="161">
        <v>319000</v>
      </c>
      <c r="G111" s="93">
        <v>100</v>
      </c>
      <c r="H111" s="93">
        <v>20</v>
      </c>
      <c r="I111" s="146">
        <f t="shared" si="32"/>
        <v>82946.218538613073</v>
      </c>
      <c r="J111" s="147">
        <f t="shared" si="33"/>
        <v>29336.328901710298</v>
      </c>
      <c r="K111" s="162">
        <f t="shared" si="34"/>
        <v>6380</v>
      </c>
      <c r="L111" s="149">
        <f t="shared" si="35"/>
        <v>35716.328901710294</v>
      </c>
      <c r="M111" s="146">
        <f t="shared" si="36"/>
        <v>11785.844659023493</v>
      </c>
      <c r="N111" s="147">
        <f t="shared" si="37"/>
        <v>357.16328901710295</v>
      </c>
      <c r="O111" s="149">
        <f t="shared" si="38"/>
        <v>117.85844659023492</v>
      </c>
    </row>
    <row r="112" spans="2:15" x14ac:dyDescent="0.25">
      <c r="B112" s="93" t="s">
        <v>577</v>
      </c>
      <c r="C112" s="93" t="s">
        <v>550</v>
      </c>
      <c r="D112" s="141">
        <v>12</v>
      </c>
      <c r="E112" s="160">
        <v>5</v>
      </c>
      <c r="F112" s="161">
        <v>74631</v>
      </c>
      <c r="G112" s="93">
        <v>100</v>
      </c>
      <c r="H112" s="93">
        <v>20</v>
      </c>
      <c r="I112" s="146">
        <f t="shared" si="32"/>
        <v>19405.514845627687</v>
      </c>
      <c r="J112" s="147">
        <f t="shared" si="33"/>
        <v>6863.3215117979362</v>
      </c>
      <c r="K112" s="162">
        <f t="shared" si="34"/>
        <v>1492.6200000000001</v>
      </c>
      <c r="L112" s="149">
        <f t="shared" si="35"/>
        <v>8355.941511797937</v>
      </c>
      <c r="M112" s="146">
        <f t="shared" si="36"/>
        <v>2757.3334568889723</v>
      </c>
      <c r="N112" s="147">
        <f t="shared" si="37"/>
        <v>83.55941511797937</v>
      </c>
      <c r="O112" s="149">
        <f t="shared" si="38"/>
        <v>27.573334568889724</v>
      </c>
    </row>
    <row r="113" spans="2:16" x14ac:dyDescent="0.25">
      <c r="B113" s="93" t="s">
        <v>578</v>
      </c>
      <c r="C113" s="93" t="s">
        <v>550</v>
      </c>
      <c r="D113" s="141">
        <v>20</v>
      </c>
      <c r="E113" s="160">
        <v>5</v>
      </c>
      <c r="F113" s="161">
        <v>114730</v>
      </c>
      <c r="G113" s="93">
        <v>100</v>
      </c>
      <c r="H113" s="93">
        <v>20</v>
      </c>
      <c r="I113" s="146">
        <f t="shared" si="32"/>
        <v>29832.036529577046</v>
      </c>
      <c r="J113" s="147">
        <f t="shared" si="33"/>
        <v>10550.962429132358</v>
      </c>
      <c r="K113" s="162">
        <f t="shared" si="34"/>
        <v>2294.6</v>
      </c>
      <c r="L113" s="149">
        <f t="shared" si="35"/>
        <v>12845.562429132358</v>
      </c>
      <c r="M113" s="146">
        <f t="shared" si="36"/>
        <v>4238.839992883276</v>
      </c>
      <c r="N113" s="147">
        <f t="shared" si="37"/>
        <v>128.45562429132357</v>
      </c>
      <c r="O113" s="149">
        <f t="shared" si="38"/>
        <v>42.388399928832762</v>
      </c>
    </row>
    <row r="114" spans="2:16" x14ac:dyDescent="0.25">
      <c r="B114" s="139" t="s">
        <v>579</v>
      </c>
      <c r="C114" s="139" t="s">
        <v>550</v>
      </c>
      <c r="D114" s="141">
        <v>28</v>
      </c>
      <c r="E114" s="160">
        <v>5</v>
      </c>
      <c r="F114" s="164">
        <v>144466</v>
      </c>
      <c r="G114" s="139">
        <v>100</v>
      </c>
      <c r="H114" s="139">
        <v>20</v>
      </c>
      <c r="I114" s="155">
        <f t="shared" si="32"/>
        <v>37563.976198743811</v>
      </c>
      <c r="J114" s="156">
        <f t="shared" si="33"/>
        <v>13285.586492521883</v>
      </c>
      <c r="K114" s="165">
        <f t="shared" si="34"/>
        <v>2889.32</v>
      </c>
      <c r="L114" s="158">
        <f t="shared" si="35"/>
        <v>16174.906492521883</v>
      </c>
      <c r="M114" s="155">
        <f t="shared" si="36"/>
        <v>5337.4728354560739</v>
      </c>
      <c r="N114" s="156">
        <f t="shared" si="37"/>
        <v>161.74906492521882</v>
      </c>
      <c r="O114" s="158">
        <f t="shared" si="38"/>
        <v>53.374728354560737</v>
      </c>
    </row>
    <row r="115" spans="2:16" x14ac:dyDescent="0.25">
      <c r="F115" s="46"/>
    </row>
    <row r="116" spans="2:16" x14ac:dyDescent="0.25">
      <c r="B116" s="262" t="s">
        <v>580</v>
      </c>
      <c r="C116" s="262"/>
      <c r="D116" s="262"/>
      <c r="E116" s="262"/>
      <c r="F116" s="262"/>
      <c r="G116" s="262"/>
      <c r="H116" s="262"/>
      <c r="I116" s="263"/>
      <c r="J116" s="260" t="s">
        <v>453</v>
      </c>
      <c r="K116" s="261"/>
      <c r="L116" s="261"/>
      <c r="M116" s="261"/>
      <c r="N116" s="260" t="s">
        <v>581</v>
      </c>
      <c r="O116" s="261"/>
      <c r="P116" s="261"/>
    </row>
    <row r="117" spans="2:16" ht="45" x14ac:dyDescent="0.25">
      <c r="B117" s="30" t="s">
        <v>582</v>
      </c>
      <c r="C117" s="70" t="s">
        <v>583</v>
      </c>
      <c r="D117" s="30" t="s">
        <v>164</v>
      </c>
      <c r="E117" s="30" t="s">
        <v>584</v>
      </c>
      <c r="F117" s="64" t="s">
        <v>458</v>
      </c>
      <c r="G117" s="63" t="s">
        <v>585</v>
      </c>
      <c r="H117" s="63" t="s">
        <v>460</v>
      </c>
      <c r="I117" s="63" t="s">
        <v>461</v>
      </c>
      <c r="J117" s="65" t="s">
        <v>462</v>
      </c>
      <c r="K117" s="63" t="s">
        <v>221</v>
      </c>
      <c r="L117" s="63" t="s">
        <v>464</v>
      </c>
      <c r="M117" s="63" t="s">
        <v>465</v>
      </c>
      <c r="N117" s="65" t="s">
        <v>466</v>
      </c>
      <c r="O117" s="64" t="s">
        <v>467</v>
      </c>
      <c r="P117" s="64" t="s">
        <v>468</v>
      </c>
    </row>
    <row r="118" spans="2:16" x14ac:dyDescent="0.25">
      <c r="B118" s="110" t="s">
        <v>586</v>
      </c>
      <c r="C118" s="120" t="s">
        <v>587</v>
      </c>
      <c r="D118" s="93" t="s">
        <v>168</v>
      </c>
      <c r="E118" s="93">
        <v>405</v>
      </c>
      <c r="F118" s="166">
        <v>53000</v>
      </c>
      <c r="G118" s="167">
        <v>12500</v>
      </c>
      <c r="H118" s="93">
        <v>10</v>
      </c>
      <c r="I118" s="167">
        <v>24000</v>
      </c>
      <c r="J118" s="147">
        <f>IF(ISBLANK(B118),"",PMT(InterestRate_Machinery,H118,-F118,I118,1))</f>
        <v>5929.3995332593267</v>
      </c>
      <c r="K118" s="126">
        <v>1545</v>
      </c>
      <c r="L118" s="168">
        <f>IF(ISBLANK(B118),"",J118+K118)</f>
        <v>7474.3995332593267</v>
      </c>
      <c r="M118" s="126">
        <v>2270</v>
      </c>
      <c r="N118" s="98">
        <f>IF(ISBLANK(B118),"",L118/G118)</f>
        <v>0.59795196266074613</v>
      </c>
      <c r="O118" s="98">
        <f>IF(ISBLANK(B118),"",M118/G118)</f>
        <v>0.18160000000000001</v>
      </c>
      <c r="P118" s="169">
        <v>6.7000000000000004E-2</v>
      </c>
    </row>
    <row r="119" spans="2:16" x14ac:dyDescent="0.25">
      <c r="B119" s="110" t="s">
        <v>167</v>
      </c>
      <c r="C119" s="120" t="s">
        <v>588</v>
      </c>
      <c r="D119" s="93" t="s">
        <v>168</v>
      </c>
      <c r="E119" s="93">
        <v>405</v>
      </c>
      <c r="F119" s="166">
        <v>51500</v>
      </c>
      <c r="G119" s="167">
        <v>12500</v>
      </c>
      <c r="H119" s="93">
        <v>10</v>
      </c>
      <c r="I119" s="167">
        <v>22500</v>
      </c>
      <c r="J119" s="147">
        <f>IF(ISBLANK(B119),"",PMT(InterestRate_Machinery,H119,-F119,I119,1))</f>
        <v>5812.7805163820785</v>
      </c>
      <c r="K119" s="126">
        <v>1524</v>
      </c>
      <c r="L119" s="168">
        <f t="shared" ref="L119:L122" si="39">IF(ISBLANK(B119),"",J119+K119)</f>
        <v>7336.7805163820785</v>
      </c>
      <c r="M119" s="126">
        <v>2270</v>
      </c>
      <c r="N119" s="98">
        <f t="shared" ref="N119:N122" si="40">IF(ISBLANK(B119),"",L119/G119)</f>
        <v>0.58694244131056628</v>
      </c>
      <c r="O119" s="98">
        <f t="shared" ref="O119:O122" si="41">IF(ISBLANK(B119),"",M119/G119)</f>
        <v>0.18160000000000001</v>
      </c>
      <c r="P119" s="169">
        <v>6.7000000000000004E-2</v>
      </c>
    </row>
    <row r="120" spans="2:16" ht="15" customHeight="1" x14ac:dyDescent="0.25">
      <c r="B120" s="110" t="s">
        <v>169</v>
      </c>
      <c r="C120" s="120" t="s">
        <v>589</v>
      </c>
      <c r="D120" s="93" t="s">
        <v>168</v>
      </c>
      <c r="E120" s="93">
        <v>350</v>
      </c>
      <c r="F120" s="166">
        <v>42000</v>
      </c>
      <c r="G120" s="167">
        <v>12500</v>
      </c>
      <c r="H120" s="93">
        <v>10</v>
      </c>
      <c r="I120" s="167">
        <v>12000</v>
      </c>
      <c r="J120" s="147">
        <f>IF(ISBLANK(B120),"",PMT(InterestRate_Machinery,H120,-F120,I120,1))</f>
        <v>5136.5679245593901</v>
      </c>
      <c r="K120" s="126">
        <v>1391</v>
      </c>
      <c r="L120" s="168">
        <f t="shared" si="39"/>
        <v>6527.5679245593901</v>
      </c>
      <c r="M120" s="126">
        <v>1530</v>
      </c>
      <c r="N120" s="98">
        <f t="shared" si="40"/>
        <v>0.52220543396475116</v>
      </c>
      <c r="O120" s="98">
        <f t="shared" si="41"/>
        <v>0.12239999999999999</v>
      </c>
      <c r="P120" s="169">
        <v>0.05</v>
      </c>
    </row>
    <row r="121" spans="2:16" x14ac:dyDescent="0.25">
      <c r="B121" s="110"/>
      <c r="C121" s="120"/>
      <c r="D121" s="93"/>
      <c r="E121" s="93"/>
      <c r="F121" s="166"/>
      <c r="G121" s="167"/>
      <c r="H121" s="93"/>
      <c r="I121" s="167"/>
      <c r="J121" s="147" t="str">
        <f>IF(ISBLANK(B121),"",PMT(InterestRate_Machinery,H121,-F121,I121,1))</f>
        <v/>
      </c>
      <c r="K121" s="126"/>
      <c r="L121" s="168" t="str">
        <f t="shared" si="39"/>
        <v/>
      </c>
      <c r="M121" s="126"/>
      <c r="N121" s="98" t="str">
        <f t="shared" si="40"/>
        <v/>
      </c>
      <c r="O121" s="98" t="str">
        <f t="shared" si="41"/>
        <v/>
      </c>
      <c r="P121" s="169"/>
    </row>
    <row r="122" spans="2:16" x14ac:dyDescent="0.25">
      <c r="B122" s="170"/>
      <c r="C122" s="131"/>
      <c r="D122" s="139"/>
      <c r="E122" s="139"/>
      <c r="F122" s="171"/>
      <c r="G122" s="172"/>
      <c r="H122" s="139"/>
      <c r="I122" s="172"/>
      <c r="J122" s="156" t="str">
        <f>IF(ISBLANK(B122),"",PMT(InterestRate_Machinery,H122,-F122,I122,1))</f>
        <v/>
      </c>
      <c r="K122" s="173"/>
      <c r="L122" s="174" t="str">
        <f t="shared" si="39"/>
        <v/>
      </c>
      <c r="M122" s="173"/>
      <c r="N122" s="175" t="str">
        <f t="shared" si="40"/>
        <v/>
      </c>
      <c r="O122" s="175" t="str">
        <f t="shared" si="41"/>
        <v/>
      </c>
      <c r="P122" s="176"/>
    </row>
    <row r="123" spans="2:16" x14ac:dyDescent="0.25">
      <c r="F123" s="46"/>
    </row>
    <row r="124" spans="2:16" x14ac:dyDescent="0.25">
      <c r="F124" s="46"/>
    </row>
    <row r="125" spans="2:16" x14ac:dyDescent="0.25">
      <c r="F125" s="46"/>
    </row>
    <row r="126" spans="2:16" x14ac:dyDescent="0.25">
      <c r="F126" s="46"/>
    </row>
    <row r="127" spans="2:16" x14ac:dyDescent="0.25">
      <c r="F127" s="46"/>
    </row>
    <row r="128" spans="2:16" x14ac:dyDescent="0.25">
      <c r="F128" s="46"/>
    </row>
    <row r="129" spans="6:6" x14ac:dyDescent="0.25">
      <c r="F129" s="46"/>
    </row>
    <row r="130" spans="6:6" x14ac:dyDescent="0.25">
      <c r="F130" s="46"/>
    </row>
    <row r="131" spans="6:6" x14ac:dyDescent="0.25">
      <c r="F131" s="46"/>
    </row>
    <row r="132" spans="6:6" x14ac:dyDescent="0.25">
      <c r="F132" s="46"/>
    </row>
    <row r="133" spans="6:6" x14ac:dyDescent="0.25">
      <c r="F133" s="46"/>
    </row>
    <row r="134" spans="6:6" x14ac:dyDescent="0.25">
      <c r="F134" s="46"/>
    </row>
    <row r="135" spans="6:6" x14ac:dyDescent="0.25">
      <c r="F135" s="46"/>
    </row>
    <row r="136" spans="6:6" x14ac:dyDescent="0.25">
      <c r="F136" s="46"/>
    </row>
    <row r="137" spans="6:6" x14ac:dyDescent="0.25">
      <c r="F137" s="46"/>
    </row>
    <row r="138" spans="6:6" x14ac:dyDescent="0.25">
      <c r="F138" s="46"/>
    </row>
    <row r="139" spans="6:6" x14ac:dyDescent="0.25">
      <c r="F139" s="46"/>
    </row>
    <row r="140" spans="6:6" x14ac:dyDescent="0.25">
      <c r="F140" s="46"/>
    </row>
    <row r="141" spans="6:6" x14ac:dyDescent="0.25">
      <c r="F141" s="46"/>
    </row>
    <row r="142" spans="6:6" x14ac:dyDescent="0.25">
      <c r="F142" s="46"/>
    </row>
    <row r="143" spans="6:6" x14ac:dyDescent="0.25">
      <c r="F143" s="46"/>
    </row>
    <row r="144" spans="6:6" x14ac:dyDescent="0.25">
      <c r="F144" s="46"/>
    </row>
    <row r="145" spans="6:6" x14ac:dyDescent="0.25">
      <c r="F145" s="46"/>
    </row>
    <row r="146" spans="6:6" x14ac:dyDescent="0.25">
      <c r="F146" s="46"/>
    </row>
    <row r="147" spans="6:6" x14ac:dyDescent="0.25">
      <c r="F147" s="46"/>
    </row>
    <row r="148" spans="6:6" x14ac:dyDescent="0.25">
      <c r="F148" s="46"/>
    </row>
    <row r="149" spans="6:6" x14ac:dyDescent="0.25">
      <c r="F149" s="46"/>
    </row>
    <row r="150" spans="6:6" x14ac:dyDescent="0.25">
      <c r="F150" s="46"/>
    </row>
    <row r="151" spans="6:6" x14ac:dyDescent="0.25">
      <c r="F151" s="46"/>
    </row>
    <row r="152" spans="6:6" x14ac:dyDescent="0.25">
      <c r="F152" s="46"/>
    </row>
    <row r="153" spans="6:6" x14ac:dyDescent="0.25">
      <c r="F153" s="46"/>
    </row>
    <row r="154" spans="6:6" x14ac:dyDescent="0.25">
      <c r="F154" s="46"/>
    </row>
    <row r="155" spans="6:6" x14ac:dyDescent="0.25">
      <c r="F155" s="46"/>
    </row>
    <row r="156" spans="6:6" x14ac:dyDescent="0.25">
      <c r="F156" s="46"/>
    </row>
    <row r="157" spans="6:6" x14ac:dyDescent="0.25">
      <c r="F157" s="46"/>
    </row>
    <row r="158" spans="6:6" x14ac:dyDescent="0.25">
      <c r="F158" s="46"/>
    </row>
    <row r="159" spans="6:6" x14ac:dyDescent="0.25">
      <c r="F159" s="46"/>
    </row>
    <row r="160" spans="6:6" x14ac:dyDescent="0.25">
      <c r="F160" s="46"/>
    </row>
    <row r="161" spans="6:6" x14ac:dyDescent="0.25">
      <c r="F161" s="46"/>
    </row>
    <row r="162" spans="6:6" x14ac:dyDescent="0.25">
      <c r="F162" s="46"/>
    </row>
    <row r="163" spans="6:6" x14ac:dyDescent="0.25">
      <c r="F163" s="46"/>
    </row>
    <row r="164" spans="6:6" x14ac:dyDescent="0.25">
      <c r="F164" s="46"/>
    </row>
    <row r="165" spans="6:6" x14ac:dyDescent="0.25">
      <c r="F165" s="46"/>
    </row>
    <row r="166" spans="6:6" x14ac:dyDescent="0.25">
      <c r="F166" s="46"/>
    </row>
    <row r="167" spans="6:6" x14ac:dyDescent="0.25">
      <c r="F167" s="46"/>
    </row>
    <row r="168" spans="6:6" x14ac:dyDescent="0.25">
      <c r="F168" s="46"/>
    </row>
    <row r="169" spans="6:6" x14ac:dyDescent="0.25">
      <c r="F169" s="46"/>
    </row>
    <row r="170" spans="6:6" x14ac:dyDescent="0.25">
      <c r="F170" s="46"/>
    </row>
    <row r="171" spans="6:6" x14ac:dyDescent="0.25">
      <c r="F171" s="46"/>
    </row>
    <row r="172" spans="6:6" x14ac:dyDescent="0.25">
      <c r="F172" s="46"/>
    </row>
    <row r="173" spans="6:6" x14ac:dyDescent="0.25">
      <c r="F173" s="46"/>
    </row>
    <row r="174" spans="6:6" x14ac:dyDescent="0.25">
      <c r="F174" s="46"/>
    </row>
    <row r="175" spans="6:6" x14ac:dyDescent="0.25">
      <c r="F175" s="46"/>
    </row>
    <row r="176" spans="6:6" x14ac:dyDescent="0.25">
      <c r="F176" s="46"/>
    </row>
    <row r="177" spans="6:6" x14ac:dyDescent="0.25">
      <c r="F177" s="46"/>
    </row>
    <row r="178" spans="6:6" x14ac:dyDescent="0.25">
      <c r="F178" s="46"/>
    </row>
    <row r="179" spans="6:6" x14ac:dyDescent="0.25">
      <c r="F179" s="46"/>
    </row>
    <row r="180" spans="6:6" x14ac:dyDescent="0.25">
      <c r="F180" s="46"/>
    </row>
    <row r="181" spans="6:6" x14ac:dyDescent="0.25">
      <c r="F181" s="46"/>
    </row>
    <row r="182" spans="6:6" x14ac:dyDescent="0.25">
      <c r="F182" s="46"/>
    </row>
    <row r="183" spans="6:6" x14ac:dyDescent="0.25">
      <c r="F183" s="46"/>
    </row>
    <row r="184" spans="6:6" x14ac:dyDescent="0.25">
      <c r="F184" s="46"/>
    </row>
    <row r="185" spans="6:6" x14ac:dyDescent="0.25">
      <c r="F185" s="46"/>
    </row>
    <row r="186" spans="6:6" x14ac:dyDescent="0.25">
      <c r="F186" s="46"/>
    </row>
    <row r="187" spans="6:6" x14ac:dyDescent="0.25">
      <c r="F187" s="46"/>
    </row>
    <row r="188" spans="6:6" x14ac:dyDescent="0.25">
      <c r="F188" s="46"/>
    </row>
    <row r="189" spans="6:6" x14ac:dyDescent="0.25">
      <c r="F189" s="46"/>
    </row>
    <row r="190" spans="6:6" x14ac:dyDescent="0.25">
      <c r="F190" s="46"/>
    </row>
    <row r="191" spans="6:6" x14ac:dyDescent="0.25">
      <c r="F191" s="46"/>
    </row>
    <row r="192" spans="6:6" x14ac:dyDescent="0.25">
      <c r="F192" s="46"/>
    </row>
    <row r="193" spans="6:6" x14ac:dyDescent="0.25">
      <c r="F193" s="46"/>
    </row>
    <row r="194" spans="6:6" x14ac:dyDescent="0.25">
      <c r="F194" s="46"/>
    </row>
    <row r="195" spans="6:6" x14ac:dyDescent="0.25">
      <c r="F195" s="46"/>
    </row>
    <row r="196" spans="6:6" x14ac:dyDescent="0.25">
      <c r="F196" s="46"/>
    </row>
    <row r="197" spans="6:6" x14ac:dyDescent="0.25">
      <c r="F197" s="46"/>
    </row>
    <row r="198" spans="6:6" x14ac:dyDescent="0.25">
      <c r="F198" s="46"/>
    </row>
    <row r="199" spans="6:6" x14ac:dyDescent="0.25">
      <c r="F199" s="46"/>
    </row>
    <row r="200" spans="6:6" x14ac:dyDescent="0.25">
      <c r="F200" s="46"/>
    </row>
    <row r="201" spans="6:6" x14ac:dyDescent="0.25">
      <c r="F201" s="46"/>
    </row>
    <row r="202" spans="6:6" x14ac:dyDescent="0.25">
      <c r="F202" s="46"/>
    </row>
    <row r="203" spans="6:6" x14ac:dyDescent="0.25">
      <c r="F203" s="46"/>
    </row>
    <row r="204" spans="6:6" x14ac:dyDescent="0.25">
      <c r="F204" s="46"/>
    </row>
    <row r="205" spans="6:6" x14ac:dyDescent="0.25">
      <c r="F205" s="46"/>
    </row>
    <row r="206" spans="6:6" x14ac:dyDescent="0.25">
      <c r="F206" s="46"/>
    </row>
    <row r="207" spans="6:6" x14ac:dyDescent="0.25">
      <c r="F207" s="46"/>
    </row>
    <row r="208" spans="6:6" x14ac:dyDescent="0.25">
      <c r="F208" s="46"/>
    </row>
    <row r="209" spans="6:6" x14ac:dyDescent="0.25">
      <c r="F209" s="46"/>
    </row>
    <row r="210" spans="6:6" x14ac:dyDescent="0.25">
      <c r="F210" s="46"/>
    </row>
    <row r="211" spans="6:6" x14ac:dyDescent="0.25">
      <c r="F211" s="46"/>
    </row>
    <row r="212" spans="6:6" x14ac:dyDescent="0.25">
      <c r="F212" s="46"/>
    </row>
    <row r="213" spans="6:6" x14ac:dyDescent="0.25">
      <c r="F213" s="46"/>
    </row>
    <row r="214" spans="6:6" x14ac:dyDescent="0.25">
      <c r="F214" s="46"/>
    </row>
    <row r="215" spans="6:6" x14ac:dyDescent="0.25">
      <c r="F215" s="46"/>
    </row>
    <row r="216" spans="6:6" x14ac:dyDescent="0.25">
      <c r="F216" s="46"/>
    </row>
    <row r="217" spans="6:6" x14ac:dyDescent="0.25">
      <c r="F217" s="46"/>
    </row>
    <row r="218" spans="6:6" x14ac:dyDescent="0.25">
      <c r="F218" s="46"/>
    </row>
    <row r="219" spans="6:6" x14ac:dyDescent="0.25">
      <c r="F219" s="46"/>
    </row>
    <row r="220" spans="6:6" x14ac:dyDescent="0.25">
      <c r="F220" s="46"/>
    </row>
    <row r="221" spans="6:6" x14ac:dyDescent="0.25">
      <c r="F221" s="46"/>
    </row>
    <row r="222" spans="6:6" x14ac:dyDescent="0.25">
      <c r="F222" s="46"/>
    </row>
    <row r="223" spans="6:6" x14ac:dyDescent="0.25">
      <c r="F223" s="46"/>
    </row>
    <row r="224" spans="6:6" x14ac:dyDescent="0.25">
      <c r="F224" s="46"/>
    </row>
    <row r="225" spans="6:6" x14ac:dyDescent="0.25">
      <c r="F225" s="46"/>
    </row>
    <row r="226" spans="6:6" x14ac:dyDescent="0.25">
      <c r="F226" s="46"/>
    </row>
    <row r="227" spans="6:6" x14ac:dyDescent="0.25">
      <c r="F227" s="46"/>
    </row>
    <row r="228" spans="6:6" x14ac:dyDescent="0.25">
      <c r="F228" s="46"/>
    </row>
    <row r="229" spans="6:6" x14ac:dyDescent="0.25">
      <c r="F229" s="46"/>
    </row>
    <row r="230" spans="6:6" x14ac:dyDescent="0.25">
      <c r="F230" s="46"/>
    </row>
    <row r="231" spans="6:6" x14ac:dyDescent="0.25">
      <c r="F231" s="46"/>
    </row>
    <row r="232" spans="6:6" x14ac:dyDescent="0.25">
      <c r="F232" s="46"/>
    </row>
    <row r="233" spans="6:6" x14ac:dyDescent="0.25">
      <c r="F233" s="46"/>
    </row>
    <row r="234" spans="6:6" x14ac:dyDescent="0.25">
      <c r="F234" s="46"/>
    </row>
    <row r="235" spans="6:6" x14ac:dyDescent="0.25">
      <c r="F235" s="46"/>
    </row>
    <row r="236" spans="6:6" x14ac:dyDescent="0.25">
      <c r="F236" s="46"/>
    </row>
    <row r="237" spans="6:6" x14ac:dyDescent="0.25">
      <c r="F237" s="46"/>
    </row>
    <row r="238" spans="6:6" x14ac:dyDescent="0.25">
      <c r="F238" s="46"/>
    </row>
    <row r="239" spans="6:6" x14ac:dyDescent="0.25">
      <c r="F239" s="46"/>
    </row>
    <row r="240" spans="6:6" x14ac:dyDescent="0.25">
      <c r="F240" s="46"/>
    </row>
    <row r="241" spans="6:6" x14ac:dyDescent="0.25">
      <c r="F241" s="46"/>
    </row>
    <row r="242" spans="6:6" x14ac:dyDescent="0.25">
      <c r="F242" s="46"/>
    </row>
    <row r="243" spans="6:6" x14ac:dyDescent="0.25">
      <c r="F243" s="46"/>
    </row>
    <row r="244" spans="6:6" x14ac:dyDescent="0.25">
      <c r="F244" s="46"/>
    </row>
    <row r="245" spans="6:6" x14ac:dyDescent="0.25">
      <c r="F245" s="46"/>
    </row>
    <row r="246" spans="6:6" x14ac:dyDescent="0.25">
      <c r="F246" s="46"/>
    </row>
    <row r="247" spans="6:6" x14ac:dyDescent="0.25">
      <c r="F247" s="46"/>
    </row>
    <row r="248" spans="6:6" x14ac:dyDescent="0.25">
      <c r="F248" s="46"/>
    </row>
    <row r="249" spans="6:6" x14ac:dyDescent="0.25">
      <c r="F249" s="46"/>
    </row>
    <row r="250" spans="6:6" x14ac:dyDescent="0.25">
      <c r="F250" s="46"/>
    </row>
    <row r="251" spans="6:6" x14ac:dyDescent="0.25">
      <c r="F251" s="46"/>
    </row>
    <row r="252" spans="6:6" x14ac:dyDescent="0.25">
      <c r="F252" s="46"/>
    </row>
    <row r="253" spans="6:6" x14ac:dyDescent="0.25">
      <c r="F253" s="46"/>
    </row>
    <row r="254" spans="6:6" x14ac:dyDescent="0.25">
      <c r="F254" s="46"/>
    </row>
    <row r="255" spans="6:6" x14ac:dyDescent="0.25">
      <c r="F255" s="46"/>
    </row>
    <row r="256" spans="6:6" x14ac:dyDescent="0.25">
      <c r="F256" s="46"/>
    </row>
    <row r="257" spans="6:6" x14ac:dyDescent="0.25">
      <c r="F257" s="46"/>
    </row>
    <row r="258" spans="6:6" x14ac:dyDescent="0.25">
      <c r="F258" s="46"/>
    </row>
    <row r="259" spans="6:6" x14ac:dyDescent="0.25">
      <c r="F259" s="46"/>
    </row>
    <row r="260" spans="6:6" x14ac:dyDescent="0.25">
      <c r="F260" s="46"/>
    </row>
    <row r="261" spans="6:6" x14ac:dyDescent="0.25">
      <c r="F261" s="46"/>
    </row>
    <row r="262" spans="6:6" x14ac:dyDescent="0.25">
      <c r="F262" s="46"/>
    </row>
    <row r="263" spans="6:6" x14ac:dyDescent="0.25">
      <c r="F263" s="46"/>
    </row>
    <row r="264" spans="6:6" x14ac:dyDescent="0.25">
      <c r="F264" s="46"/>
    </row>
    <row r="265" spans="6:6" x14ac:dyDescent="0.25">
      <c r="F265" s="46"/>
    </row>
    <row r="266" spans="6:6" x14ac:dyDescent="0.25">
      <c r="F266" s="46"/>
    </row>
    <row r="267" spans="6:6" x14ac:dyDescent="0.25">
      <c r="F267" s="46"/>
    </row>
    <row r="268" spans="6:6" x14ac:dyDescent="0.25">
      <c r="F268" s="46"/>
    </row>
    <row r="269" spans="6:6" x14ac:dyDescent="0.25">
      <c r="F269" s="46"/>
    </row>
    <row r="270" spans="6:6" x14ac:dyDescent="0.25">
      <c r="F270" s="46"/>
    </row>
    <row r="271" spans="6:6" x14ac:dyDescent="0.25">
      <c r="F271" s="46"/>
    </row>
    <row r="272" spans="6:6" x14ac:dyDescent="0.25">
      <c r="F272" s="46"/>
    </row>
    <row r="273" spans="6:6" x14ac:dyDescent="0.25">
      <c r="F273" s="46"/>
    </row>
    <row r="274" spans="6:6" x14ac:dyDescent="0.25">
      <c r="F274" s="46"/>
    </row>
    <row r="275" spans="6:6" x14ac:dyDescent="0.25">
      <c r="F275" s="46"/>
    </row>
    <row r="276" spans="6:6" x14ac:dyDescent="0.25">
      <c r="F276" s="46"/>
    </row>
    <row r="277" spans="6:6" x14ac:dyDescent="0.25">
      <c r="F277" s="46"/>
    </row>
    <row r="278" spans="6:6" x14ac:dyDescent="0.25">
      <c r="F278" s="46"/>
    </row>
    <row r="279" spans="6:6" x14ac:dyDescent="0.25">
      <c r="F279" s="46"/>
    </row>
    <row r="280" spans="6:6" x14ac:dyDescent="0.25">
      <c r="F280" s="46"/>
    </row>
    <row r="281" spans="6:6" x14ac:dyDescent="0.25">
      <c r="F281" s="46"/>
    </row>
    <row r="282" spans="6:6" x14ac:dyDescent="0.25">
      <c r="F282" s="46"/>
    </row>
    <row r="283" spans="6:6" x14ac:dyDescent="0.25">
      <c r="F283" s="46"/>
    </row>
    <row r="284" spans="6:6" x14ac:dyDescent="0.25">
      <c r="F284" s="46"/>
    </row>
    <row r="285" spans="6:6" x14ac:dyDescent="0.25">
      <c r="F285" s="46"/>
    </row>
    <row r="286" spans="6:6" x14ac:dyDescent="0.25">
      <c r="F286" s="46"/>
    </row>
    <row r="287" spans="6:6" x14ac:dyDescent="0.25">
      <c r="F287" s="46"/>
    </row>
    <row r="288" spans="6:6" x14ac:dyDescent="0.25">
      <c r="F288" s="46"/>
    </row>
    <row r="289" spans="6:6" x14ac:dyDescent="0.25">
      <c r="F289" s="46"/>
    </row>
    <row r="290" spans="6:6" x14ac:dyDescent="0.25">
      <c r="F290" s="46"/>
    </row>
    <row r="291" spans="6:6" x14ac:dyDescent="0.25">
      <c r="F291" s="46"/>
    </row>
    <row r="292" spans="6:6" x14ac:dyDescent="0.25">
      <c r="F292" s="46"/>
    </row>
    <row r="293" spans="6:6" x14ac:dyDescent="0.25">
      <c r="F293" s="46"/>
    </row>
    <row r="294" spans="6:6" x14ac:dyDescent="0.25">
      <c r="F294" s="46"/>
    </row>
    <row r="295" spans="6:6" x14ac:dyDescent="0.25">
      <c r="F295" s="46"/>
    </row>
    <row r="296" spans="6:6" x14ac:dyDescent="0.25">
      <c r="F296" s="46"/>
    </row>
    <row r="297" spans="6:6" x14ac:dyDescent="0.25">
      <c r="F297" s="46"/>
    </row>
    <row r="298" spans="6:6" x14ac:dyDescent="0.25">
      <c r="F298" s="46"/>
    </row>
    <row r="299" spans="6:6" x14ac:dyDescent="0.25">
      <c r="F299" s="46"/>
    </row>
    <row r="300" spans="6:6" x14ac:dyDescent="0.25">
      <c r="F300" s="46"/>
    </row>
    <row r="301" spans="6:6" x14ac:dyDescent="0.25">
      <c r="F301" s="46"/>
    </row>
    <row r="302" spans="6:6" x14ac:dyDescent="0.25">
      <c r="F302" s="46"/>
    </row>
    <row r="303" spans="6:6" x14ac:dyDescent="0.25">
      <c r="F303" s="46"/>
    </row>
    <row r="304" spans="6:6" x14ac:dyDescent="0.25">
      <c r="F304" s="46"/>
    </row>
    <row r="305" spans="6:6" x14ac:dyDescent="0.25">
      <c r="F305" s="46"/>
    </row>
    <row r="306" spans="6:6" x14ac:dyDescent="0.25">
      <c r="F306" s="46"/>
    </row>
    <row r="307" spans="6:6" x14ac:dyDescent="0.25">
      <c r="F307" s="46"/>
    </row>
    <row r="308" spans="6:6" x14ac:dyDescent="0.25">
      <c r="F308" s="46"/>
    </row>
    <row r="309" spans="6:6" x14ac:dyDescent="0.25">
      <c r="F309" s="46"/>
    </row>
    <row r="310" spans="6:6" x14ac:dyDescent="0.25">
      <c r="F310" s="46"/>
    </row>
    <row r="311" spans="6:6" x14ac:dyDescent="0.25">
      <c r="F311" s="46"/>
    </row>
    <row r="312" spans="6:6" x14ac:dyDescent="0.25">
      <c r="F312" s="46"/>
    </row>
    <row r="313" spans="6:6" x14ac:dyDescent="0.25">
      <c r="F313" s="46"/>
    </row>
    <row r="314" spans="6:6" x14ac:dyDescent="0.25">
      <c r="F314" s="46"/>
    </row>
    <row r="315" spans="6:6" x14ac:dyDescent="0.25">
      <c r="F315" s="46"/>
    </row>
    <row r="316" spans="6:6" x14ac:dyDescent="0.25">
      <c r="F316" s="46"/>
    </row>
    <row r="317" spans="6:6" x14ac:dyDescent="0.25">
      <c r="F317" s="46"/>
    </row>
    <row r="318" spans="6:6" x14ac:dyDescent="0.25">
      <c r="F318" s="46"/>
    </row>
    <row r="319" spans="6:6" x14ac:dyDescent="0.25">
      <c r="F319" s="46"/>
    </row>
    <row r="320" spans="6:6" x14ac:dyDescent="0.25">
      <c r="F320" s="46"/>
    </row>
    <row r="321" spans="6:6" x14ac:dyDescent="0.25">
      <c r="F321" s="46"/>
    </row>
    <row r="322" spans="6:6" x14ac:dyDescent="0.25">
      <c r="F322" s="46"/>
    </row>
    <row r="323" spans="6:6" x14ac:dyDescent="0.25">
      <c r="F323" s="46"/>
    </row>
    <row r="324" spans="6:6" x14ac:dyDescent="0.25">
      <c r="F324" s="46"/>
    </row>
    <row r="325" spans="6:6" x14ac:dyDescent="0.25">
      <c r="F325" s="46"/>
    </row>
    <row r="326" spans="6:6" x14ac:dyDescent="0.25">
      <c r="F326" s="46"/>
    </row>
    <row r="327" spans="6:6" x14ac:dyDescent="0.25">
      <c r="F327" s="46"/>
    </row>
    <row r="328" spans="6:6" x14ac:dyDescent="0.25">
      <c r="F328" s="46"/>
    </row>
    <row r="329" spans="6:6" x14ac:dyDescent="0.25">
      <c r="F329" s="46"/>
    </row>
  </sheetData>
  <sheetProtection algorithmName="SHA-512" hashValue="QR81mDv7rvJ6+jnZNF6ne235CCxV4Dn6ERUfUec/brFvJStgl0ae+rezeXkT7hy0dud0HhQY167K4TImZ9jPvw==" saltValue="Yrz0Tc9BcxEFOxK2eIl2N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C677D-E19C-4E05-B6BA-98CE80A5CB2F}">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schemas.openxmlformats.org/package/2006/metadata/core-properties"/>
    <ds:schemaRef ds:uri="7a18bf6d-f16c-403b-9eec-b9692be18b6b"/>
    <ds:schemaRef ds:uri="http://purl.org/dc/dcmitype/"/>
  </ds:schemaRefs>
</ds:datastoreItem>
</file>

<file path=customXml/itemProps2.xml><?xml version="1.0" encoding="utf-8"?>
<ds:datastoreItem xmlns:ds="http://schemas.openxmlformats.org/officeDocument/2006/customXml" ds:itemID="{4385FAC4-47C9-416A-A933-CA6A88AC8877}">
  <ds:schemaRefs>
    <ds:schemaRef ds:uri="http://schemas.microsoft.com/sharepoint/v3/contenttype/forms"/>
  </ds:schemaRefs>
</ds:datastoreItem>
</file>

<file path=customXml/itemProps3.xml><?xml version="1.0" encoding="utf-8"?>
<ds:datastoreItem xmlns:ds="http://schemas.openxmlformats.org/officeDocument/2006/customXml" ds:itemID="{9BC42D65-4BAA-4F5B-BD97-459D8BB9D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