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uflorida-my.sharepoint.com/personal/athearn_ufl_edu/Documents/P2_CropDecisions/CropBudgets_FruitNutBerry/Elderberry/"/>
    </mc:Choice>
  </mc:AlternateContent>
  <xr:revisionPtr revIDLastSave="0" documentId="8_{DFB0D8A5-601E-457B-8766-8F30786FEA46}" xr6:coauthVersionLast="45" xr6:coauthVersionMax="45" xr10:uidLastSave="{00000000-0000-0000-0000-000000000000}"/>
  <bookViews>
    <workbookView xWindow="3660" yWindow="255" windowWidth="17865" windowHeight="13725" tabRatio="688" xr2:uid="{0959600D-0344-4A6B-83BA-1B51F41468B7}"/>
  </bookViews>
  <sheets>
    <sheet name="TitleSheet" sheetId="1" r:id="rId1"/>
    <sheet name="BudgetSummary" sheetId="11" r:id="rId2"/>
    <sheet name="FixedAssets" sheetId="12" r:id="rId3"/>
    <sheet name="AnnualOperatingCosts" sheetId="14" r:id="rId4"/>
    <sheet name="Harvest-Postharvest" sheetId="2" r:id="rId5"/>
    <sheet name="InvestmentAnalysis" sheetId="8" r:id="rId6"/>
    <sheet name="First5YrsCostAccumulation" sheetId="9" r:id="rId7"/>
  </sheets>
  <definedNames>
    <definedName name="AmortizedYear1Thru5Costs">First5YrsCostAccumulation!$G$12</definedName>
    <definedName name="Annual_Depreciation">FixedAssets!$C$23</definedName>
    <definedName name="Annual_Fixed_Cost_per_Acre">FixedAssets!$C$27</definedName>
    <definedName name="Annual_Interest_FixedAssets">FixedAssets!$C$24</definedName>
    <definedName name="Annual_TaxesIns_FixedAssets">FixedAssets!$C$25</definedName>
    <definedName name="ContainerCost_Year6">'Harvest-Postharvest'!$H$24</definedName>
    <definedName name="DiscountRate_Real_RiskAdjusted">InvestmentAnalysis!$H$7</definedName>
    <definedName name="DiscountRate_Real_RiskFree">InvestmentAnalysis!$H$5</definedName>
    <definedName name="EquipmentOpCosts_Year3">AnnualOperatingCosts!$J$31</definedName>
    <definedName name="FixedAsset_TaxIns">FixedAssets!$C$25</definedName>
    <definedName name="GrossRevenue_Year6">'Harvest-Postharvest'!$H$15</definedName>
    <definedName name="HarvestLaborCost_Year6">'Harvest-Postharvest'!$H$20</definedName>
    <definedName name="Initial_Capital_Outlay">FixedAssets!$C$22</definedName>
    <definedName name="MaterialCosts_Year3">AnnualOperatingCosts!$J$30</definedName>
    <definedName name="OperatingCost_Year1">AnnualOperatingCosts!$F$27</definedName>
    <definedName name="OperatingCost_Year2">AnnualOperatingCosts!$H$27</definedName>
    <definedName name="OperatingCost_Year3">AnnualOperatingCosts!$J$27</definedName>
    <definedName name="OrchardLaborCosts_Year3">AnnualOperatingCosts!$J$32</definedName>
    <definedName name="PostharvestLaborCost_Year6">'Harvest-Postharvest'!$H$23</definedName>
    <definedName name="PreharvestRevenue_Year1">'Harvest-Postharvest'!$C$26</definedName>
    <definedName name="PreharvestRevenue_Year2">'Harvest-Postharvest'!$D$26</definedName>
    <definedName name="PreharvestRevenue_Year3">'Harvest-Postharvest'!$E$26</definedName>
    <definedName name="PreharvestRevenue_Year4">'Harvest-Postharvest'!$F$26</definedName>
    <definedName name="PreharvestRevenue_Year5">'Harvest-Postharvest'!$G$26</definedName>
    <definedName name="PreharvestRevenue_Year6">'Harvest-Postharvest'!$H$26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1" l="1"/>
  <c r="H21" i="2" l="1"/>
  <c r="G21" i="2"/>
  <c r="F21" i="2"/>
  <c r="E21" i="2"/>
  <c r="D21" i="2"/>
  <c r="C21" i="2"/>
  <c r="H18" i="2"/>
  <c r="G18" i="2"/>
  <c r="F18" i="2"/>
  <c r="E18" i="2"/>
  <c r="D18" i="2"/>
  <c r="C18" i="2"/>
  <c r="F10" i="12" l="1"/>
  <c r="F23" i="2" l="1"/>
  <c r="E23" i="2"/>
  <c r="H23" i="2"/>
  <c r="G23" i="2"/>
  <c r="D23" i="2"/>
  <c r="C23" i="2"/>
  <c r="H24" i="2"/>
  <c r="G24" i="2"/>
  <c r="F24" i="2"/>
  <c r="E24" i="2"/>
  <c r="D24" i="2"/>
  <c r="C24" i="2"/>
  <c r="J33" i="14"/>
  <c r="H33" i="14"/>
  <c r="F33" i="14"/>
  <c r="F21" i="14"/>
  <c r="F12" i="12" l="1"/>
  <c r="H22" i="14" l="1"/>
  <c r="F6" i="14"/>
  <c r="H7" i="8" l="1"/>
  <c r="B16" i="8"/>
  <c r="B17" i="8" s="1"/>
  <c r="B18" i="8" l="1"/>
  <c r="B19" i="8" l="1"/>
  <c r="B20" i="8" l="1"/>
  <c r="B21" i="8" l="1"/>
  <c r="B22" i="8" l="1"/>
  <c r="B23" i="8" l="1"/>
  <c r="B24" i="8" l="1"/>
  <c r="B25" i="8" l="1"/>
  <c r="B26" i="8" l="1"/>
  <c r="B27" i="8" l="1"/>
  <c r="B28" i="8" l="1"/>
  <c r="B29" i="8" l="1"/>
  <c r="B30" i="8" l="1"/>
  <c r="B31" i="8" l="1"/>
  <c r="B32" i="8" l="1"/>
  <c r="D20" i="2" l="1"/>
  <c r="F20" i="2"/>
  <c r="G20" i="2"/>
  <c r="H20" i="2"/>
  <c r="E20" i="2"/>
  <c r="C20" i="2"/>
  <c r="H15" i="2"/>
  <c r="G15" i="2"/>
  <c r="G26" i="2" s="1"/>
  <c r="F15" i="2"/>
  <c r="F26" i="2" s="1"/>
  <c r="E15" i="2"/>
  <c r="E26" i="2" s="1"/>
  <c r="D15" i="2"/>
  <c r="D26" i="2" s="1"/>
  <c r="C15" i="2"/>
  <c r="C26" i="2" s="1"/>
  <c r="H21" i="14"/>
  <c r="J21" i="14"/>
  <c r="C5" i="11" l="1"/>
  <c r="C7" i="11" s="1"/>
  <c r="H26" i="2"/>
  <c r="D13" i="8"/>
  <c r="C6" i="9"/>
  <c r="F6" i="9" l="1"/>
  <c r="D16" i="8"/>
  <c r="D17" i="8"/>
  <c r="G6" i="9"/>
  <c r="D15" i="8"/>
  <c r="E6" i="9"/>
  <c r="D6" i="9"/>
  <c r="D14" i="8"/>
  <c r="D31" i="8"/>
  <c r="D27" i="8"/>
  <c r="D23" i="8"/>
  <c r="D19" i="8"/>
  <c r="D29" i="8"/>
  <c r="D21" i="8"/>
  <c r="D28" i="8"/>
  <c r="D20" i="8"/>
  <c r="D30" i="8"/>
  <c r="D26" i="8"/>
  <c r="D22" i="8"/>
  <c r="D18" i="8"/>
  <c r="D25" i="8"/>
  <c r="D32" i="8"/>
  <c r="D24" i="8"/>
  <c r="J11" i="14" l="1"/>
  <c r="H11" i="14"/>
  <c r="F11" i="14"/>
  <c r="F14" i="14"/>
  <c r="H14" i="14"/>
  <c r="J14" i="14"/>
  <c r="J6" i="14"/>
  <c r="H6" i="14"/>
  <c r="J7" i="14" l="1"/>
  <c r="H7" i="14"/>
  <c r="F7" i="14"/>
  <c r="J8" i="14"/>
  <c r="H8" i="14"/>
  <c r="F8" i="14"/>
  <c r="F17" i="12" l="1"/>
  <c r="F14" i="12"/>
  <c r="J26" i="14"/>
  <c r="J25" i="14"/>
  <c r="J24" i="14"/>
  <c r="J23" i="14"/>
  <c r="J22" i="14"/>
  <c r="J20" i="14"/>
  <c r="J19" i="14"/>
  <c r="J18" i="14"/>
  <c r="J17" i="14"/>
  <c r="J15" i="14"/>
  <c r="J13" i="14"/>
  <c r="J10" i="14"/>
  <c r="J9" i="14"/>
  <c r="F26" i="14"/>
  <c r="H26" i="14"/>
  <c r="H25" i="14"/>
  <c r="H24" i="14"/>
  <c r="H23" i="14"/>
  <c r="H20" i="14"/>
  <c r="H19" i="14"/>
  <c r="H18" i="14"/>
  <c r="H17" i="14"/>
  <c r="H15" i="14"/>
  <c r="H13" i="14"/>
  <c r="H31" i="14" s="1"/>
  <c r="H10" i="14"/>
  <c r="H9" i="14"/>
  <c r="F25" i="14"/>
  <c r="F24" i="14"/>
  <c r="F23" i="14"/>
  <c r="F22" i="14"/>
  <c r="F20" i="14"/>
  <c r="F19" i="14"/>
  <c r="F18" i="14"/>
  <c r="F17" i="14"/>
  <c r="F15" i="14"/>
  <c r="F13" i="14"/>
  <c r="F31" i="14" s="1"/>
  <c r="F10" i="14"/>
  <c r="F9" i="14"/>
  <c r="J5" i="14"/>
  <c r="H5" i="14"/>
  <c r="F5" i="14"/>
  <c r="F16" i="12"/>
  <c r="F30" i="14" l="1"/>
  <c r="J32" i="14"/>
  <c r="C12" i="11" s="1"/>
  <c r="H30" i="14"/>
  <c r="J30" i="14"/>
  <c r="C10" i="11" s="1"/>
  <c r="F32" i="14"/>
  <c r="H32" i="14"/>
  <c r="J31" i="14"/>
  <c r="C11" i="11" s="1"/>
  <c r="J27" i="14"/>
  <c r="F27" i="14"/>
  <c r="H27" i="14"/>
  <c r="C5" i="9" l="1"/>
  <c r="C7" i="9" s="1"/>
  <c r="C8" i="9" s="1"/>
  <c r="G5" i="9"/>
  <c r="G7" i="9" s="1"/>
  <c r="G8" i="9" s="1"/>
  <c r="F5" i="9"/>
  <c r="F7" i="9" s="1"/>
  <c r="F8" i="9" s="1"/>
  <c r="E5" i="9"/>
  <c r="E7" i="9" s="1"/>
  <c r="E8" i="9" s="1"/>
  <c r="D5" i="9"/>
  <c r="D7" i="9" s="1"/>
  <c r="D8" i="9" s="1"/>
  <c r="G24" i="12"/>
  <c r="C22" i="12"/>
  <c r="F6" i="12"/>
  <c r="F7" i="12"/>
  <c r="F8" i="12"/>
  <c r="F9" i="12"/>
  <c r="F11" i="12"/>
  <c r="F15" i="12"/>
  <c r="F18" i="12"/>
  <c r="F5" i="12"/>
  <c r="G23" i="12" l="1"/>
  <c r="C25" i="12" s="1"/>
  <c r="H8" i="8"/>
  <c r="F19" i="12"/>
  <c r="C23" i="12"/>
  <c r="C15" i="11" s="1"/>
  <c r="C28" i="8" l="1"/>
  <c r="E28" i="8" s="1"/>
  <c r="F28" i="8" s="1"/>
  <c r="C23" i="8"/>
  <c r="E23" i="8" s="1"/>
  <c r="F23" i="8" s="1"/>
  <c r="C18" i="8"/>
  <c r="E18" i="8" s="1"/>
  <c r="F18" i="8" s="1"/>
  <c r="C13" i="8"/>
  <c r="E13" i="8" s="1"/>
  <c r="C24" i="12"/>
  <c r="C16" i="11" s="1"/>
  <c r="C17" i="11"/>
  <c r="C29" i="8"/>
  <c r="E29" i="8" s="1"/>
  <c r="F29" i="8" s="1"/>
  <c r="C21" i="8"/>
  <c r="E21" i="8" s="1"/>
  <c r="F21" i="8" s="1"/>
  <c r="C32" i="8"/>
  <c r="E32" i="8" s="1"/>
  <c r="F32" i="8" s="1"/>
  <c r="C30" i="8"/>
  <c r="E30" i="8" s="1"/>
  <c r="F30" i="8" s="1"/>
  <c r="C15" i="8"/>
  <c r="E15" i="8" s="1"/>
  <c r="F15" i="8" s="1"/>
  <c r="C17" i="8"/>
  <c r="E17" i="8" s="1"/>
  <c r="F17" i="8" s="1"/>
  <c r="C16" i="8"/>
  <c r="E16" i="8" s="1"/>
  <c r="F16" i="8" s="1"/>
  <c r="C14" i="8"/>
  <c r="E14" i="8" s="1"/>
  <c r="F14" i="8" s="1"/>
  <c r="C24" i="8"/>
  <c r="E24" i="8" s="1"/>
  <c r="F24" i="8" s="1"/>
  <c r="C27" i="8"/>
  <c r="E27" i="8" s="1"/>
  <c r="F27" i="8" s="1"/>
  <c r="C25" i="8"/>
  <c r="E25" i="8" s="1"/>
  <c r="F25" i="8" s="1"/>
  <c r="C31" i="8"/>
  <c r="E31" i="8" s="1"/>
  <c r="F31" i="8" s="1"/>
  <c r="C19" i="8"/>
  <c r="E19" i="8" s="1"/>
  <c r="F19" i="8" s="1"/>
  <c r="C20" i="8"/>
  <c r="E20" i="8" s="1"/>
  <c r="F20" i="8" s="1"/>
  <c r="C22" i="8"/>
  <c r="E22" i="8" s="1"/>
  <c r="F22" i="8" s="1"/>
  <c r="C26" i="8"/>
  <c r="E26" i="8" s="1"/>
  <c r="F26" i="8" s="1"/>
  <c r="C12" i="8"/>
  <c r="E12" i="8" s="1"/>
  <c r="E19" i="12"/>
  <c r="C19" i="12"/>
  <c r="C26" i="12" l="1"/>
  <c r="C27" i="12" s="1"/>
  <c r="F9" i="9" s="1"/>
  <c r="G13" i="8"/>
  <c r="G14" i="8" s="1"/>
  <c r="G15" i="8" s="1"/>
  <c r="G16" i="8" s="1"/>
  <c r="G17" i="8" s="1"/>
  <c r="G18" i="8" s="1"/>
  <c r="G19" i="8" s="1"/>
  <c r="G20" i="8" s="1"/>
  <c r="G21" i="8" s="1"/>
  <c r="G22" i="8" s="1"/>
  <c r="G23" i="8" s="1"/>
  <c r="G24" i="8" s="1"/>
  <c r="G25" i="8" s="1"/>
  <c r="G26" i="8" s="1"/>
  <c r="G27" i="8" s="1"/>
  <c r="F13" i="8"/>
  <c r="H13" i="8" s="1"/>
  <c r="H14" i="8" s="1"/>
  <c r="H15" i="8" s="1"/>
  <c r="H16" i="8" s="1"/>
  <c r="H17" i="8" s="1"/>
  <c r="H18" i="8" s="1"/>
  <c r="H19" i="8" s="1"/>
  <c r="H20" i="8" s="1"/>
  <c r="H21" i="8" s="1"/>
  <c r="H22" i="8" s="1"/>
  <c r="H23" i="8" s="1"/>
  <c r="H24" i="8" s="1"/>
  <c r="H25" i="8" s="1"/>
  <c r="H26" i="8" s="1"/>
  <c r="H27" i="8" s="1"/>
  <c r="H28" i="8" s="1"/>
  <c r="H29" i="8" s="1"/>
  <c r="H30" i="8" s="1"/>
  <c r="H31" i="8" s="1"/>
  <c r="H32" i="8" s="1"/>
  <c r="H36" i="8" s="1"/>
  <c r="F12" i="8"/>
  <c r="H35" i="8"/>
  <c r="D9" i="9" l="1"/>
  <c r="C9" i="9"/>
  <c r="C10" i="9" s="1"/>
  <c r="D10" i="9" s="1"/>
  <c r="E9" i="9"/>
  <c r="G9" i="9"/>
  <c r="G28" i="8"/>
  <c r="G29" i="8" s="1"/>
  <c r="G30" i="8" s="1"/>
  <c r="G31" i="8" s="1"/>
  <c r="G32" i="8" s="1"/>
  <c r="H34" i="8"/>
  <c r="E10" i="9" l="1"/>
  <c r="F10" i="9" s="1"/>
  <c r="G10" i="9" s="1"/>
  <c r="G12" i="9" s="1"/>
  <c r="C19" i="11" s="1"/>
  <c r="C21" i="11" s="1"/>
</calcChain>
</file>

<file path=xl/sharedStrings.xml><?xml version="1.0" encoding="utf-8"?>
<sst xmlns="http://schemas.openxmlformats.org/spreadsheetml/2006/main" count="203" uniqueCount="148">
  <si>
    <t>Prepared by</t>
  </si>
  <si>
    <t>Kevin Athearn, University of Florida, IFAS Extension</t>
  </si>
  <si>
    <t>Description</t>
  </si>
  <si>
    <t>Revenues</t>
  </si>
  <si>
    <t>Year 1</t>
  </si>
  <si>
    <t>Year 2</t>
  </si>
  <si>
    <t>Year 3</t>
  </si>
  <si>
    <t>Year 4</t>
  </si>
  <si>
    <t>Year 5</t>
  </si>
  <si>
    <t xml:space="preserve">     #1 Berry Packout Percentage</t>
  </si>
  <si>
    <t xml:space="preserve">     #2 Berry Packout Percentage</t>
  </si>
  <si>
    <t xml:space="preserve">     #1 Flower Packout Percentage</t>
  </si>
  <si>
    <t xml:space="preserve">     #2 Flower Packout Percentage</t>
  </si>
  <si>
    <t>Harvest Labor Hours</t>
  </si>
  <si>
    <t>Post-Harvest Labor Hours</t>
  </si>
  <si>
    <t>Yield, Packout, Price, Revenue</t>
  </si>
  <si>
    <t>HARVEST &amp; POST-HARVEST</t>
  </si>
  <si>
    <t>Original Cost</t>
  </si>
  <si>
    <t>Salvage Value</t>
  </si>
  <si>
    <t>BCS tractor</t>
  </si>
  <si>
    <t>Tractor implements/attachments</t>
  </si>
  <si>
    <t>Hand tools</t>
  </si>
  <si>
    <t>Spray equipment, including safety gear</t>
  </si>
  <si>
    <t>Destemmer</t>
  </si>
  <si>
    <t>Freezer</t>
  </si>
  <si>
    <t>% to Sambucus</t>
  </si>
  <si>
    <t>Land, 3 acres</t>
  </si>
  <si>
    <t>Annual Depreciation</t>
  </si>
  <si>
    <t>Initial Capital Outlay</t>
  </si>
  <si>
    <t>Totals</t>
  </si>
  <si>
    <t>Annual Interest (Capital Cost) Estimate</t>
  </si>
  <si>
    <t>Annual Taxes &amp; Insurance Estimate</t>
  </si>
  <si>
    <t xml:space="preserve">Average Tax &amp; Insurance Rate: </t>
  </si>
  <si>
    <t>Average Interest Rate:</t>
  </si>
  <si>
    <t>Average Investment Value:</t>
  </si>
  <si>
    <t>FIXED ASSETS</t>
  </si>
  <si>
    <t>Materials</t>
  </si>
  <si>
    <t>Mulch</t>
  </si>
  <si>
    <t>Unit</t>
  </si>
  <si>
    <t>Cost per Unit</t>
  </si>
  <si>
    <t>cubic yard</t>
  </si>
  <si>
    <t>Quantity</t>
  </si>
  <si>
    <t>Cost</t>
  </si>
  <si>
    <t>each</t>
  </si>
  <si>
    <t>ORCHARD OPERATING COSTS PER ACRE</t>
  </si>
  <si>
    <t>acre</t>
  </si>
  <si>
    <t>Equipment Operation</t>
  </si>
  <si>
    <t>gallon</t>
  </si>
  <si>
    <t>Irrigation supplies</t>
  </si>
  <si>
    <t>Preparing planting rows, tilling</t>
  </si>
  <si>
    <t>Laying mulch</t>
  </si>
  <si>
    <t>Equipment repairs &amp; maintenance</t>
  </si>
  <si>
    <t>Mowing &amp; weed management</t>
  </si>
  <si>
    <t>Irrigation management</t>
  </si>
  <si>
    <t>Scouting &amp; pest management</t>
  </si>
  <si>
    <t>Pruning</t>
  </si>
  <si>
    <t>kwh</t>
  </si>
  <si>
    <t>hour</t>
  </si>
  <si>
    <t>Wash sinks</t>
  </si>
  <si>
    <t>Total</t>
  </si>
  <si>
    <t>Annual Fixed Asset Cost</t>
  </si>
  <si>
    <t>Annual Fixed Asset Cost per Acre</t>
  </si>
  <si>
    <t>Equipment storage shed</t>
  </si>
  <si>
    <t>Packing &amp; Storage Building</t>
  </si>
  <si>
    <t>Pest management materials (organic)</t>
  </si>
  <si>
    <t>Laying weed barrier</t>
  </si>
  <si>
    <t>Plants</t>
  </si>
  <si>
    <t>Orchard Equipment &amp; Infrastructure</t>
  </si>
  <si>
    <t>Weed barrier/landscape fabric</t>
  </si>
  <si>
    <t>linear foot</t>
  </si>
  <si>
    <t>Orchard Operating Costs</t>
  </si>
  <si>
    <t>Planting &amp; replacing elderberry</t>
  </si>
  <si>
    <t>Fertilizing &amp; amending soil</t>
  </si>
  <si>
    <t>Fixed Production Costs</t>
  </si>
  <si>
    <t>INVESTMENT ANALYSIS</t>
  </si>
  <si>
    <t>Initial Cost of Investment:</t>
  </si>
  <si>
    <t>Annual</t>
  </si>
  <si>
    <t>Cumulative*</t>
  </si>
  <si>
    <t>Year</t>
  </si>
  <si>
    <t>Cash Costs</t>
  </si>
  <si>
    <t>Cash Revenue</t>
  </si>
  <si>
    <t>Net Cash Revenue</t>
  </si>
  <si>
    <t>Discounted Net Cash Revenue</t>
  </si>
  <si>
    <t>Payback Period (years):</t>
  </si>
  <si>
    <t>Internal Rate of Return (%):</t>
  </si>
  <si>
    <t>Net Present Value ($):</t>
  </si>
  <si>
    <t>*Cumulative columns do not include initial investment cost.</t>
  </si>
  <si>
    <t>Risk premium</t>
  </si>
  <si>
    <t>Risk-adjusted discount rate:</t>
  </si>
  <si>
    <t>Real risk-free discount rate (opportunity cost of capital invested)</t>
  </si>
  <si>
    <t>Future value (Year 6) of annual net cost</t>
  </si>
  <si>
    <t>Annual fixed asset cost per acre</t>
  </si>
  <si>
    <t>Accumulated future value (Year 6) of costs</t>
  </si>
  <si>
    <t>Gross Revenue</t>
  </si>
  <si>
    <t>Orchard Labor</t>
  </si>
  <si>
    <t>Taxes &amp; Insurance on Fixed Assets</t>
  </si>
  <si>
    <t>Depreciation on Fixed Assets</t>
  </si>
  <si>
    <t>Interest on Fixed Assets</t>
  </si>
  <si>
    <t>Per Acre</t>
  </si>
  <si>
    <t>Amortized Costs from First 5 (Pre-mature) Years</t>
  </si>
  <si>
    <t>Gross Revenue per Acre</t>
  </si>
  <si>
    <t>Harvest Labor Cost per Acre</t>
  </si>
  <si>
    <t>Post-Harvest Labor Cost per Acre</t>
  </si>
  <si>
    <t>Annual net undiscounted cost per acre</t>
  </si>
  <si>
    <t>Annual amortization of Year 1-5 accumulated costs  per acre over Years 6-20:</t>
  </si>
  <si>
    <t>Harvest Labor Rate ($/hour)</t>
  </si>
  <si>
    <t>Post-Harvest Labor Rate ($/hour)</t>
  </si>
  <si>
    <t>ACCUMULATION &amp; AMORTIZATION OF COSTS FROM YEARS 1-5</t>
  </si>
  <si>
    <t>David Jarnagin, Hyldemoer + Co.</t>
  </si>
  <si>
    <t>Deer-deterrent electric fencing</t>
  </si>
  <si>
    <t>Harvest &amp; Postharvest Equipment</t>
  </si>
  <si>
    <t>Containers &amp; misc. processing equipment</t>
  </si>
  <si>
    <t>Soil amendments &amp; fertilizer (organic)</t>
  </si>
  <si>
    <t>Cover/IPM/green manure crop seed</t>
  </si>
  <si>
    <t>Fuel for tractor (2-wheel)</t>
  </si>
  <si>
    <t>Seeding cover crops</t>
  </si>
  <si>
    <t>Material Costs</t>
  </si>
  <si>
    <t>Equipment Operation Costs</t>
  </si>
  <si>
    <t>Labor Costs</t>
  </si>
  <si>
    <t>Labor Hours</t>
  </si>
  <si>
    <t>Summary per Acre</t>
  </si>
  <si>
    <t>On-tree Revenue</t>
  </si>
  <si>
    <t>Gross Berry Yield per Acre (pounds)</t>
  </si>
  <si>
    <t xml:space="preserve">     #1 Berry Average Price ($/lb)</t>
  </si>
  <si>
    <t xml:space="preserve">     #2 Berry Average Price ($/lb)</t>
  </si>
  <si>
    <t>Variable Harvest &amp; Post-Harvest Costs</t>
  </si>
  <si>
    <t>Packing/Selling Container Cost per Acre</t>
  </si>
  <si>
    <t>Annual orchard operating cost per acre</t>
  </si>
  <si>
    <t>Annual on-tree revenue per acre</t>
  </si>
  <si>
    <t>Time span of analysis</t>
  </si>
  <si>
    <t>Harvest &amp; Postharvest Cost</t>
  </si>
  <si>
    <t>Year 6 to 20</t>
  </si>
  <si>
    <t>Year 3 to 20</t>
  </si>
  <si>
    <t>*Use Life (years) estimates must be 5, 10, 15, or 20.</t>
  </si>
  <si>
    <t>Electricity for well pump</t>
  </si>
  <si>
    <t>4" well, 2- to 5-hp pump, &amp; bladder tank</t>
  </si>
  <si>
    <t>Annual production margin per acre*</t>
  </si>
  <si>
    <t>*Annual production margin is the return to selling-general-administrative (SGA) costs, land, and profit. SGA costs may include part of a pickup truck expense, accounting services, office supplies, business registration fees, marketing costs, food safety compliance costs, organic certification, and other general business costs.</t>
  </si>
  <si>
    <t>SAMPLE BUDGET SUMMARY FOR A MATURE ELDERBERRY ORCHARD</t>
  </si>
  <si>
    <t>Total Charges to Elderberry Enterprise (3 acres)</t>
  </si>
  <si>
    <t>Investment in a 3-acre elderberry orchard</t>
  </si>
  <si>
    <t>Suggested fixed assets for a 3-acre elderberry orchard</t>
  </si>
  <si>
    <t>Use Life (Years)*</t>
  </si>
  <si>
    <t>ELDERBERRY PRODUCTION BUDGET</t>
  </si>
  <si>
    <t>This sample budget provides estimates of costs, yields, and potential revenue for a 3-acre elderberry orchard managed according to organic standards in Florida. Costs will vary depending on a grower's specific practices, equipment, and management decisions. Yields under Florida growing conditions are uncertain; our estimates are based on yields obtained in other parts of the U.S. and limited trials in Florida. Yields will depend on the specific varieties grown, management practices, and growing conditions. Processing facilities and markets for Florida elderberries and elderflowers are not well established. A new elderberry grower will have to find potential buyers and consider the postharvest handling, processing, storage, transport, and marketing costs needed to sell to available buyers. Prices are uncertain. Actual costs, yields, and prices will vary. There is risk involved with production and marketing of any agricultural product, especially one that is relatively new to a region and lacking well-established market channels. Growers can use this workbook to create their own budget. Green cells can be changed, and the white numerical cells will recalculate automatically.</t>
  </si>
  <si>
    <t>Gross Flower Yield per Acre (bunch)</t>
  </si>
  <si>
    <t xml:space="preserve">     #1 Flower Average Price ($/bunch)</t>
  </si>
  <si>
    <t xml:space="preserve">     #2 Flower Average Price ($/bunch)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</si>
</sst>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0.0"/>
  </numFmts>
  <fonts count="8" x14ac:knownFonts="1">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50">
    <xf numFmtId="0" fontId="0" fillId="0" borderId="0" xfId="0"/>
    <xf numFmtId="0" fontId="0" fillId="0" borderId="0" xfId="0"/>
    <xf numFmtId="0" fontId="1" fillId="0" borderId="0" xfId="0" applyFont="1"/>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1" xfId="0" applyBorder="1"/>
    <xf numFmtId="0" fontId="1" fillId="0" borderId="3" xfId="0" applyFont="1" applyBorder="1"/>
    <xf numFmtId="0" fontId="1" fillId="0" borderId="5" xfId="0" applyFont="1" applyBorder="1"/>
    <xf numFmtId="0" fontId="0" fillId="0" borderId="0" xfId="0"/>
    <xf numFmtId="0" fontId="0" fillId="0" borderId="0" xfId="0" applyAlignment="1">
      <alignment horizontal="right" wrapText="1"/>
    </xf>
    <xf numFmtId="164" fontId="0" fillId="0" borderId="0" xfId="1" applyNumberFormat="1" applyFont="1"/>
    <xf numFmtId="164" fontId="0" fillId="0" borderId="0" xfId="0" applyNumberFormat="1"/>
    <xf numFmtId="0" fontId="0" fillId="0" borderId="0" xfId="0"/>
    <xf numFmtId="0" fontId="0" fillId="0" borderId="0" xfId="0" applyAlignment="1">
      <alignment horizontal="center"/>
    </xf>
    <xf numFmtId="164" fontId="1" fillId="0" borderId="0" xfId="1" applyNumberFormat="1" applyFont="1"/>
    <xf numFmtId="164" fontId="0" fillId="0" borderId="3" xfId="1" applyNumberFormat="1" applyFont="1" applyBorder="1"/>
    <xf numFmtId="0" fontId="0" fillId="0" borderId="0" xfId="0"/>
    <xf numFmtId="0" fontId="0" fillId="0" borderId="0" xfId="0"/>
    <xf numFmtId="164" fontId="0" fillId="0" borderId="0" xfId="1" applyNumberFormat="1" applyFont="1" applyFill="1"/>
    <xf numFmtId="0" fontId="0" fillId="0" borderId="0" xfId="0" applyFill="1" applyBorder="1"/>
    <xf numFmtId="0" fontId="0" fillId="3" borderId="10" xfId="0" applyFill="1" applyBorder="1" applyAlignment="1">
      <alignment horizontal="left"/>
    </xf>
    <xf numFmtId="0" fontId="1" fillId="3" borderId="10" xfId="0" applyFont="1" applyFill="1" applyBorder="1" applyAlignment="1">
      <alignment horizontal="center"/>
    </xf>
    <xf numFmtId="0" fontId="1" fillId="3" borderId="4" xfId="0" applyFont="1" applyFill="1" applyBorder="1" applyAlignment="1">
      <alignment horizontal="right"/>
    </xf>
    <xf numFmtId="0" fontId="1" fillId="3" borderId="4" xfId="0" applyFont="1" applyFill="1" applyBorder="1" applyAlignment="1">
      <alignment horizontal="right" wrapText="1"/>
    </xf>
    <xf numFmtId="0" fontId="1" fillId="3" borderId="10" xfId="0" applyFont="1" applyFill="1" applyBorder="1" applyAlignment="1">
      <alignment horizontal="right" wrapText="1"/>
    </xf>
    <xf numFmtId="0" fontId="1" fillId="3" borderId="11" xfId="0" applyFont="1" applyFill="1" applyBorder="1" applyAlignment="1">
      <alignment horizontal="right" wrapText="1"/>
    </xf>
    <xf numFmtId="0" fontId="0" fillId="5" borderId="3" xfId="0" applyFill="1" applyBorder="1" applyProtection="1">
      <protection locked="0"/>
    </xf>
    <xf numFmtId="165" fontId="0" fillId="5" borderId="3" xfId="2" applyNumberFormat="1" applyFont="1" applyFill="1" applyBorder="1" applyProtection="1">
      <protection locked="0"/>
    </xf>
    <xf numFmtId="165" fontId="0" fillId="0" borderId="4" xfId="2" applyNumberFormat="1" applyFont="1" applyFill="1" applyBorder="1" applyProtection="1"/>
    <xf numFmtId="0" fontId="0" fillId="0" borderId="10" xfId="0" applyFill="1" applyBorder="1" applyAlignment="1">
      <alignment horizontal="center"/>
    </xf>
    <xf numFmtId="164" fontId="0" fillId="0" borderId="4" xfId="0" applyNumberFormat="1" applyFill="1" applyBorder="1" applyAlignment="1">
      <alignment horizontal="right"/>
    </xf>
    <xf numFmtId="0" fontId="1" fillId="0" borderId="4" xfId="0" applyFont="1" applyFill="1" applyBorder="1" applyAlignment="1">
      <alignment horizontal="right"/>
    </xf>
    <xf numFmtId="164" fontId="0" fillId="0" borderId="4" xfId="0" applyNumberFormat="1" applyFill="1" applyBorder="1" applyAlignment="1">
      <alignment horizontal="right" wrapText="1"/>
    </xf>
    <xf numFmtId="0" fontId="1" fillId="0" borderId="10" xfId="0" applyFont="1" applyFill="1" applyBorder="1" applyAlignment="1">
      <alignment horizontal="right" wrapText="1"/>
    </xf>
    <xf numFmtId="0" fontId="1" fillId="0" borderId="11" xfId="0" applyFont="1" applyFill="1" applyBorder="1" applyAlignment="1">
      <alignment horizontal="right" wrapText="1"/>
    </xf>
    <xf numFmtId="0" fontId="0" fillId="0" borderId="6" xfId="0" applyFill="1" applyBorder="1" applyAlignment="1">
      <alignment horizontal="center"/>
    </xf>
    <xf numFmtId="164" fontId="0" fillId="0" borderId="6" xfId="1" applyNumberFormat="1" applyFont="1" applyFill="1" applyBorder="1"/>
    <xf numFmtId="164" fontId="0" fillId="0" borderId="7" xfId="1" applyNumberFormat="1" applyFont="1" applyFill="1" applyBorder="1"/>
    <xf numFmtId="0" fontId="1" fillId="0" borderId="2" xfId="0" applyFont="1" applyFill="1" applyBorder="1"/>
    <xf numFmtId="9" fontId="1" fillId="0" borderId="4" xfId="0" applyNumberFormat="1" applyFont="1" applyFill="1" applyBorder="1"/>
    <xf numFmtId="164" fontId="1" fillId="0" borderId="1" xfId="1" applyNumberFormat="1" applyFont="1" applyFill="1" applyBorder="1"/>
    <xf numFmtId="0" fontId="1" fillId="3" borderId="1" xfId="0" applyFont="1" applyFill="1" applyBorder="1"/>
    <xf numFmtId="0" fontId="1" fillId="3" borderId="3" xfId="0" applyFont="1" applyFill="1" applyBorder="1"/>
    <xf numFmtId="0" fontId="1" fillId="3" borderId="13" xfId="0" applyFont="1" applyFill="1" applyBorder="1"/>
    <xf numFmtId="0" fontId="1" fillId="3" borderId="13" xfId="0" applyFont="1" applyFill="1" applyBorder="1" applyAlignment="1">
      <alignment horizontal="right"/>
    </xf>
    <xf numFmtId="164" fontId="0" fillId="0" borderId="13" xfId="1" applyNumberFormat="1" applyFont="1" applyFill="1" applyBorder="1"/>
    <xf numFmtId="0" fontId="1" fillId="0" borderId="13" xfId="0" applyFont="1" applyBorder="1"/>
    <xf numFmtId="0" fontId="0" fillId="0" borderId="13" xfId="0" applyBorder="1"/>
    <xf numFmtId="164" fontId="1" fillId="0" borderId="13" xfId="0" applyNumberFormat="1" applyFont="1" applyBorder="1"/>
    <xf numFmtId="0" fontId="0" fillId="2" borderId="13" xfId="0" applyFill="1" applyBorder="1"/>
    <xf numFmtId="0" fontId="1" fillId="2" borderId="13" xfId="0" applyFont="1" applyFill="1" applyBorder="1"/>
    <xf numFmtId="0" fontId="1" fillId="3" borderId="13" xfId="0" applyFont="1" applyFill="1" applyBorder="1" applyAlignment="1">
      <alignment horizontal="right" wrapText="1"/>
    </xf>
    <xf numFmtId="164" fontId="0" fillId="0" borderId="13" xfId="0" applyNumberFormat="1" applyBorder="1"/>
    <xf numFmtId="164" fontId="0" fillId="3" borderId="13" xfId="1" applyNumberFormat="1" applyFont="1" applyFill="1" applyBorder="1"/>
    <xf numFmtId="0" fontId="0" fillId="3" borderId="13" xfId="0" applyFill="1" applyBorder="1"/>
    <xf numFmtId="164" fontId="0" fillId="3" borderId="13" xfId="0" applyNumberFormat="1" applyFill="1" applyBorder="1"/>
    <xf numFmtId="9" fontId="0" fillId="3" borderId="13" xfId="2" applyFont="1" applyFill="1" applyBorder="1"/>
    <xf numFmtId="164" fontId="0" fillId="0" borderId="13" xfId="0" applyNumberFormat="1" applyFill="1" applyBorder="1"/>
    <xf numFmtId="164" fontId="1" fillId="0" borderId="13" xfId="1" applyNumberFormat="1" applyFont="1" applyBorder="1"/>
    <xf numFmtId="0" fontId="0" fillId="2" borderId="13" xfId="0" applyFont="1" applyFill="1" applyBorder="1"/>
    <xf numFmtId="42" fontId="1" fillId="0" borderId="5" xfId="0" applyNumberFormat="1" applyFont="1" applyBorder="1"/>
    <xf numFmtId="164" fontId="0" fillId="0" borderId="5" xfId="1" applyNumberFormat="1" applyFont="1" applyFill="1" applyBorder="1" applyProtection="1"/>
    <xf numFmtId="0" fontId="1" fillId="0" borderId="3" xfId="0" applyFont="1" applyBorder="1" applyAlignment="1">
      <alignment horizontal="right"/>
    </xf>
    <xf numFmtId="0" fontId="1" fillId="0" borderId="6" xfId="0" applyFont="1" applyFill="1" applyBorder="1" applyAlignment="1">
      <alignment horizontal="right"/>
    </xf>
    <xf numFmtId="0" fontId="0" fillId="0" borderId="6" xfId="0" applyBorder="1"/>
    <xf numFmtId="0" fontId="1" fillId="0" borderId="9" xfId="0" applyFont="1" applyBorder="1" applyAlignment="1">
      <alignment horizontal="right"/>
    </xf>
    <xf numFmtId="164" fontId="0" fillId="0" borderId="6" xfId="1" applyNumberFormat="1" applyFont="1" applyBorder="1"/>
    <xf numFmtId="164" fontId="0" fillId="0" borderId="9" xfId="1" applyNumberFormat="1" applyFont="1" applyBorder="1"/>
    <xf numFmtId="164" fontId="1" fillId="0" borderId="6" xfId="1" applyNumberFormat="1" applyFont="1" applyBorder="1"/>
    <xf numFmtId="8" fontId="0" fillId="0" borderId="0" xfId="0" applyNumberFormat="1"/>
    <xf numFmtId="0" fontId="1" fillId="0" borderId="0" xfId="0" applyFont="1" applyFill="1" applyBorder="1"/>
    <xf numFmtId="0" fontId="1" fillId="0" borderId="3" xfId="0" applyFont="1" applyBorder="1" applyAlignment="1">
      <alignment horizontal="center"/>
    </xf>
    <xf numFmtId="164" fontId="0" fillId="0" borderId="4" xfId="1" applyNumberFormat="1" applyFont="1" applyBorder="1"/>
    <xf numFmtId="164" fontId="1" fillId="0" borderId="1" xfId="0" applyNumberFormat="1" applyFont="1" applyBorder="1"/>
    <xf numFmtId="0" fontId="0" fillId="0" borderId="0" xfId="0" applyAlignment="1">
      <alignment vertical="top" wrapText="1"/>
    </xf>
    <xf numFmtId="0" fontId="1" fillId="3" borderId="10" xfId="0" applyFont="1" applyFill="1" applyBorder="1" applyAlignment="1">
      <alignment horizontal="right"/>
    </xf>
    <xf numFmtId="0" fontId="1" fillId="3" borderId="15" xfId="0" applyFont="1" applyFill="1" applyBorder="1" applyAlignment="1">
      <alignment horizontal="right"/>
    </xf>
    <xf numFmtId="0" fontId="0" fillId="2" borderId="10" xfId="0" applyFill="1" applyBorder="1"/>
    <xf numFmtId="0" fontId="0" fillId="2" borderId="15" xfId="0" applyFill="1" applyBorder="1"/>
    <xf numFmtId="164" fontId="0" fillId="0" borderId="10" xfId="1" applyNumberFormat="1" applyFont="1" applyFill="1" applyBorder="1"/>
    <xf numFmtId="164" fontId="0" fillId="0" borderId="16" xfId="1" applyNumberFormat="1" applyFont="1" applyFill="1" applyBorder="1"/>
    <xf numFmtId="0" fontId="1" fillId="3" borderId="11" xfId="0" applyFont="1" applyFill="1" applyBorder="1" applyAlignment="1">
      <alignment horizontal="right"/>
    </xf>
    <xf numFmtId="0" fontId="1" fillId="3" borderId="16" xfId="0" applyFont="1" applyFill="1" applyBorder="1" applyAlignment="1">
      <alignment horizontal="right"/>
    </xf>
    <xf numFmtId="0" fontId="1" fillId="2" borderId="11" xfId="0" applyFont="1" applyFill="1" applyBorder="1"/>
    <xf numFmtId="164" fontId="1" fillId="0" borderId="16" xfId="0" applyNumberFormat="1" applyFont="1" applyBorder="1"/>
    <xf numFmtId="164" fontId="1" fillId="0" borderId="10" xfId="0" applyNumberFormat="1" applyFont="1" applyBorder="1"/>
    <xf numFmtId="0" fontId="1" fillId="2" borderId="15" xfId="0" applyFont="1" applyFill="1" applyBorder="1"/>
    <xf numFmtId="0" fontId="1" fillId="3" borderId="1" xfId="0" applyFont="1" applyFill="1" applyBorder="1" applyAlignment="1">
      <alignment horizontal="center"/>
    </xf>
    <xf numFmtId="164" fontId="1" fillId="0" borderId="0" xfId="0" applyNumberFormat="1" applyFont="1"/>
    <xf numFmtId="0" fontId="0" fillId="0" borderId="0" xfId="0"/>
    <xf numFmtId="3" fontId="0" fillId="0" borderId="0" xfId="0" applyNumberFormat="1"/>
    <xf numFmtId="0" fontId="0" fillId="0" borderId="0" xfId="0" applyFont="1" applyBorder="1"/>
    <xf numFmtId="0" fontId="0" fillId="0" borderId="0" xfId="0" applyBorder="1"/>
    <xf numFmtId="164" fontId="1" fillId="0" borderId="3" xfId="1" applyNumberFormat="1" applyFont="1" applyBorder="1"/>
    <xf numFmtId="42" fontId="1" fillId="0" borderId="3" xfId="1" applyNumberFormat="1" applyFont="1" applyFill="1" applyBorder="1"/>
    <xf numFmtId="0" fontId="0" fillId="5" borderId="13" xfId="0" applyFill="1" applyBorder="1" applyProtection="1">
      <protection locked="0"/>
    </xf>
    <xf numFmtId="164" fontId="0" fillId="5" borderId="13" xfId="1" applyNumberFormat="1" applyFont="1" applyFill="1" applyBorder="1" applyProtection="1">
      <protection locked="0"/>
    </xf>
    <xf numFmtId="9" fontId="0" fillId="5" borderId="13" xfId="2" applyFont="1" applyFill="1" applyBorder="1" applyProtection="1">
      <protection locked="0"/>
    </xf>
    <xf numFmtId="0" fontId="0" fillId="5" borderId="13" xfId="0" applyFont="1" applyFill="1" applyBorder="1" applyProtection="1">
      <protection locked="0"/>
    </xf>
    <xf numFmtId="165" fontId="0" fillId="5" borderId="13" xfId="2" applyNumberFormat="1" applyFont="1" applyFill="1" applyBorder="1" applyProtection="1">
      <protection locked="0"/>
    </xf>
    <xf numFmtId="44" fontId="0" fillId="5" borderId="10" xfId="1" applyFont="1" applyFill="1" applyBorder="1" applyProtection="1">
      <protection locked="0"/>
    </xf>
    <xf numFmtId="3" fontId="0" fillId="5" borderId="15" xfId="0" applyNumberFormat="1" applyFill="1" applyBorder="1" applyProtection="1">
      <protection locked="0"/>
    </xf>
    <xf numFmtId="44" fontId="0" fillId="5" borderId="16" xfId="1" applyFont="1" applyFill="1" applyBorder="1" applyProtection="1">
      <protection locked="0"/>
    </xf>
    <xf numFmtId="3" fontId="0" fillId="5" borderId="11" xfId="0" applyNumberFormat="1" applyFill="1" applyBorder="1" applyProtection="1">
      <protection locked="0"/>
    </xf>
    <xf numFmtId="166" fontId="0" fillId="5" borderId="15" xfId="0" applyNumberFormat="1" applyFill="1" applyBorder="1" applyProtection="1">
      <protection locked="0"/>
    </xf>
    <xf numFmtId="9" fontId="0" fillId="5" borderId="0" xfId="2" applyFont="1" applyFill="1" applyProtection="1">
      <protection locked="0"/>
    </xf>
    <xf numFmtId="9" fontId="0" fillId="5" borderId="3" xfId="2" applyFont="1" applyFill="1" applyBorder="1" applyProtection="1">
      <protection locked="0"/>
    </xf>
    <xf numFmtId="44" fontId="0" fillId="5" borderId="0" xfId="1" applyFont="1" applyFill="1" applyProtection="1">
      <protection locked="0"/>
    </xf>
    <xf numFmtId="44" fontId="0" fillId="5" borderId="3" xfId="1" applyFont="1" applyFill="1" applyBorder="1" applyProtection="1">
      <protection locked="0"/>
    </xf>
    <xf numFmtId="0" fontId="0" fillId="5" borderId="4" xfId="0" applyFill="1" applyBorder="1" applyProtection="1">
      <protection locked="0"/>
    </xf>
    <xf numFmtId="44" fontId="0" fillId="5" borderId="1" xfId="1" applyFont="1" applyFill="1" applyBorder="1" applyProtection="1">
      <protection locked="0"/>
    </xf>
    <xf numFmtId="1" fontId="0" fillId="5" borderId="0" xfId="0" applyNumberFormat="1" applyFill="1" applyProtection="1">
      <protection locked="0"/>
    </xf>
    <xf numFmtId="44" fontId="0" fillId="5" borderId="0" xfId="1" applyFont="1" applyFill="1" applyBorder="1" applyProtection="1">
      <protection locked="0"/>
    </xf>
    <xf numFmtId="3" fontId="0" fillId="5" borderId="0" xfId="0" applyNumberFormat="1" applyFill="1" applyProtection="1">
      <protection locked="0"/>
    </xf>
    <xf numFmtId="44" fontId="1" fillId="5" borderId="0" xfId="1" applyFont="1" applyFill="1" applyProtection="1">
      <protection locked="0"/>
    </xf>
    <xf numFmtId="164" fontId="1" fillId="5" borderId="0" xfId="1" applyNumberFormat="1" applyFont="1" applyFill="1" applyProtection="1">
      <protection locked="0"/>
    </xf>
    <xf numFmtId="0" fontId="0" fillId="0" borderId="0" xfId="0"/>
    <xf numFmtId="164" fontId="0" fillId="0" borderId="0" xfId="1" applyNumberFormat="1" applyFont="1" applyFill="1" applyProtection="1"/>
    <xf numFmtId="0" fontId="0" fillId="0" borderId="0" xfId="0" applyFill="1" applyAlignment="1">
      <alignment vertical="top" wrapText="1"/>
    </xf>
    <xf numFmtId="3" fontId="0" fillId="5" borderId="2" xfId="0" applyNumberFormat="1" applyFill="1" applyBorder="1" applyProtection="1">
      <protection locked="0"/>
    </xf>
    <xf numFmtId="0" fontId="0" fillId="0" borderId="0" xfId="0" applyAlignment="1">
      <alignment vertical="top" wrapText="1"/>
    </xf>
    <xf numFmtId="0" fontId="3" fillId="0" borderId="0" xfId="0" applyFont="1"/>
    <xf numFmtId="0" fontId="6" fillId="0" borderId="0" xfId="0" applyFont="1"/>
    <xf numFmtId="0" fontId="0" fillId="0" borderId="0" xfId="0"/>
    <xf numFmtId="0" fontId="2" fillId="0" borderId="0" xfId="0" applyFont="1" applyAlignment="1">
      <alignment horizontal="left"/>
    </xf>
    <xf numFmtId="0" fontId="7" fillId="0" borderId="0" xfId="0" applyFont="1"/>
    <xf numFmtId="0" fontId="1" fillId="0" borderId="0" xfId="0" applyFont="1"/>
    <xf numFmtId="0" fontId="0" fillId="0" borderId="0" xfId="0" applyFill="1" applyAlignment="1">
      <alignment vertical="top" wrapText="1"/>
    </xf>
    <xf numFmtId="0" fontId="0" fillId="0" borderId="0" xfId="0" applyAlignment="1">
      <alignment horizontal="right"/>
    </xf>
    <xf numFmtId="0" fontId="0" fillId="0" borderId="3" xfId="0" applyBorder="1"/>
    <xf numFmtId="0" fontId="1" fillId="0" borderId="14"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5" fillId="0" borderId="3" xfId="0" applyFont="1" applyFill="1" applyBorder="1"/>
    <xf numFmtId="0" fontId="0" fillId="4" borderId="5" xfId="0" applyFill="1" applyBorder="1" applyAlignment="1">
      <alignment wrapText="1"/>
    </xf>
    <xf numFmtId="0" fontId="0" fillId="0" borderId="3" xfId="0" applyFill="1" applyBorder="1"/>
    <xf numFmtId="0" fontId="0" fillId="0" borderId="4" xfId="0" applyFill="1" applyBorder="1"/>
    <xf numFmtId="0" fontId="0" fillId="0" borderId="5" xfId="0" applyFill="1" applyBorder="1"/>
    <xf numFmtId="0" fontId="1" fillId="3" borderId="1" xfId="0" applyFont="1" applyFill="1" applyBorder="1"/>
    <xf numFmtId="0" fontId="0" fillId="0" borderId="12" xfId="0" applyBorder="1"/>
    <xf numFmtId="0" fontId="1" fillId="3" borderId="4"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0" fillId="0" borderId="5" xfId="0" applyBorder="1"/>
    <xf numFmtId="0" fontId="1" fillId="3" borderId="2" xfId="0" applyFont="1" applyFill="1" applyBorder="1"/>
    <xf numFmtId="0" fontId="1" fillId="3" borderId="4" xfId="0" applyFont="1" applyFill="1" applyBorder="1"/>
    <xf numFmtId="0" fontId="0" fillId="4" borderId="0" xfId="0"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F98F-6FAF-4ED4-8265-0081618F2E76}">
  <dimension ref="B2:I27"/>
  <sheetViews>
    <sheetView showGridLines="0" tabSelected="1" workbookViewId="0"/>
  </sheetViews>
  <sheetFormatPr defaultRowHeight="15" x14ac:dyDescent="0.25"/>
  <cols>
    <col min="1" max="1" width="4.7109375" customWidth="1"/>
    <col min="2" max="2" width="9.140625" customWidth="1"/>
  </cols>
  <sheetData>
    <row r="2" spans="2:9" ht="18.75" x14ac:dyDescent="0.3">
      <c r="B2" s="125" t="s">
        <v>143</v>
      </c>
      <c r="C2" s="125"/>
      <c r="D2" s="125"/>
      <c r="E2" s="125"/>
      <c r="F2" s="125"/>
      <c r="G2" s="125"/>
      <c r="H2" s="125"/>
      <c r="I2" s="125"/>
    </row>
    <row r="3" spans="2:9" x14ac:dyDescent="0.25">
      <c r="B3" s="126"/>
      <c r="C3" s="126"/>
      <c r="D3" s="126"/>
      <c r="E3" s="126"/>
      <c r="F3" s="126"/>
      <c r="G3" s="126"/>
      <c r="H3" s="126"/>
      <c r="I3" s="126"/>
    </row>
    <row r="4" spans="2:9" ht="18.75" x14ac:dyDescent="0.3">
      <c r="B4" s="127">
        <v>2020</v>
      </c>
      <c r="C4" s="127"/>
      <c r="D4" s="127"/>
      <c r="E4" s="127"/>
      <c r="F4" s="127"/>
      <c r="G4" s="127"/>
      <c r="H4" s="127"/>
      <c r="I4" s="127"/>
    </row>
    <row r="5" spans="2:9" x14ac:dyDescent="0.25">
      <c r="B5" s="126"/>
      <c r="C5" s="126"/>
      <c r="D5" s="126"/>
      <c r="E5" s="126"/>
      <c r="F5" s="126"/>
      <c r="G5" s="126"/>
      <c r="H5" s="126"/>
      <c r="I5" s="126"/>
    </row>
    <row r="6" spans="2:9" ht="15.75" x14ac:dyDescent="0.25">
      <c r="B6" s="128" t="s">
        <v>0</v>
      </c>
      <c r="C6" s="128"/>
      <c r="D6" s="128"/>
      <c r="E6" s="128"/>
      <c r="F6" s="128"/>
      <c r="G6" s="128"/>
      <c r="H6" s="128"/>
      <c r="I6" s="128"/>
    </row>
    <row r="7" spans="2:9" ht="15.75" x14ac:dyDescent="0.25">
      <c r="B7" s="124" t="s">
        <v>1</v>
      </c>
      <c r="C7" s="124"/>
      <c r="D7" s="124"/>
      <c r="E7" s="124"/>
      <c r="F7" s="124"/>
      <c r="G7" s="124"/>
      <c r="H7" s="124"/>
      <c r="I7" s="124"/>
    </row>
    <row r="8" spans="2:9" ht="15.75" x14ac:dyDescent="0.25">
      <c r="B8" s="124" t="s">
        <v>108</v>
      </c>
      <c r="C8" s="124"/>
      <c r="D8" s="124"/>
      <c r="E8" s="124"/>
      <c r="F8" s="124"/>
      <c r="G8" s="124"/>
      <c r="H8" s="124"/>
      <c r="I8" s="124"/>
    </row>
    <row r="10" spans="2:9" ht="15.75" x14ac:dyDescent="0.25">
      <c r="B10" s="128" t="s">
        <v>2</v>
      </c>
      <c r="C10" s="128"/>
      <c r="D10" s="128"/>
      <c r="E10" s="128"/>
      <c r="F10" s="128"/>
      <c r="G10" s="128"/>
      <c r="H10" s="128"/>
      <c r="I10" s="128"/>
    </row>
    <row r="11" spans="2:9" ht="15" customHeight="1" x14ac:dyDescent="0.25">
      <c r="B11" s="123" t="s">
        <v>144</v>
      </c>
      <c r="C11" s="123"/>
      <c r="D11" s="123"/>
      <c r="E11" s="123"/>
      <c r="F11" s="123"/>
      <c r="G11" s="123"/>
      <c r="H11" s="123"/>
      <c r="I11" s="123"/>
    </row>
    <row r="12" spans="2:9" x14ac:dyDescent="0.25">
      <c r="B12" s="123"/>
      <c r="C12" s="123"/>
      <c r="D12" s="123"/>
      <c r="E12" s="123"/>
      <c r="F12" s="123"/>
      <c r="G12" s="123"/>
      <c r="H12" s="123"/>
      <c r="I12" s="123"/>
    </row>
    <row r="13" spans="2:9" x14ac:dyDescent="0.25">
      <c r="B13" s="123"/>
      <c r="C13" s="123"/>
      <c r="D13" s="123"/>
      <c r="E13" s="123"/>
      <c r="F13" s="123"/>
      <c r="G13" s="123"/>
      <c r="H13" s="123"/>
      <c r="I13" s="123"/>
    </row>
    <row r="14" spans="2:9" x14ac:dyDescent="0.25">
      <c r="B14" s="123"/>
      <c r="C14" s="123"/>
      <c r="D14" s="123"/>
      <c r="E14" s="123"/>
      <c r="F14" s="123"/>
      <c r="G14" s="123"/>
      <c r="H14" s="123"/>
      <c r="I14" s="123"/>
    </row>
    <row r="15" spans="2:9" x14ac:dyDescent="0.25">
      <c r="B15" s="123"/>
      <c r="C15" s="123"/>
      <c r="D15" s="123"/>
      <c r="E15" s="123"/>
      <c r="F15" s="123"/>
      <c r="G15" s="123"/>
      <c r="H15" s="123"/>
      <c r="I15" s="123"/>
    </row>
    <row r="16" spans="2:9" x14ac:dyDescent="0.25">
      <c r="B16" s="123"/>
      <c r="C16" s="123"/>
      <c r="D16" s="123"/>
      <c r="E16" s="123"/>
      <c r="F16" s="123"/>
      <c r="G16" s="123"/>
      <c r="H16" s="123"/>
      <c r="I16" s="123"/>
    </row>
    <row r="17" spans="2:9" x14ac:dyDescent="0.25">
      <c r="B17" s="123"/>
      <c r="C17" s="123"/>
      <c r="D17" s="123"/>
      <c r="E17" s="123"/>
      <c r="F17" s="123"/>
      <c r="G17" s="123"/>
      <c r="H17" s="123"/>
      <c r="I17" s="123"/>
    </row>
    <row r="18" spans="2:9" x14ac:dyDescent="0.25">
      <c r="B18" s="123"/>
      <c r="C18" s="123"/>
      <c r="D18" s="123"/>
      <c r="E18" s="123"/>
      <c r="F18" s="123"/>
      <c r="G18" s="123"/>
      <c r="H18" s="123"/>
      <c r="I18" s="123"/>
    </row>
    <row r="19" spans="2:9" x14ac:dyDescent="0.25">
      <c r="B19" s="123"/>
      <c r="C19" s="123"/>
      <c r="D19" s="123"/>
      <c r="E19" s="123"/>
      <c r="F19" s="123"/>
      <c r="G19" s="123"/>
      <c r="H19" s="123"/>
      <c r="I19" s="123"/>
    </row>
    <row r="20" spans="2:9" x14ac:dyDescent="0.25">
      <c r="B20" s="123"/>
      <c r="C20" s="123"/>
      <c r="D20" s="123"/>
      <c r="E20" s="123"/>
      <c r="F20" s="123"/>
      <c r="G20" s="123"/>
      <c r="H20" s="123"/>
      <c r="I20" s="123"/>
    </row>
    <row r="21" spans="2:9" x14ac:dyDescent="0.25">
      <c r="B21" s="123"/>
      <c r="C21" s="123"/>
      <c r="D21" s="123"/>
      <c r="E21" s="123"/>
      <c r="F21" s="123"/>
      <c r="G21" s="123"/>
      <c r="H21" s="123"/>
      <c r="I21" s="123"/>
    </row>
    <row r="22" spans="2:9" x14ac:dyDescent="0.25">
      <c r="B22" s="123"/>
      <c r="C22" s="123"/>
      <c r="D22" s="123"/>
      <c r="E22" s="123"/>
      <c r="F22" s="123"/>
      <c r="G22" s="123"/>
      <c r="H22" s="123"/>
      <c r="I22" s="123"/>
    </row>
    <row r="23" spans="2:9" x14ac:dyDescent="0.25">
      <c r="B23" s="123"/>
      <c r="C23" s="123"/>
      <c r="D23" s="123"/>
      <c r="E23" s="123"/>
      <c r="F23" s="123"/>
      <c r="G23" s="123"/>
      <c r="H23" s="123"/>
      <c r="I23" s="123"/>
    </row>
    <row r="24" spans="2:9" x14ac:dyDescent="0.25">
      <c r="B24" s="123"/>
      <c r="C24" s="123"/>
      <c r="D24" s="123"/>
      <c r="E24" s="123"/>
      <c r="F24" s="123"/>
      <c r="G24" s="123"/>
      <c r="H24" s="123"/>
      <c r="I24" s="123"/>
    </row>
    <row r="25" spans="2:9" x14ac:dyDescent="0.25">
      <c r="B25" s="123"/>
      <c r="C25" s="123"/>
      <c r="D25" s="123"/>
      <c r="E25" s="123"/>
      <c r="F25" s="123"/>
      <c r="G25" s="123"/>
      <c r="H25" s="123"/>
      <c r="I25" s="123"/>
    </row>
    <row r="26" spans="2:9" x14ac:dyDescent="0.25">
      <c r="B26" s="77"/>
      <c r="C26" s="77"/>
      <c r="D26" s="77"/>
      <c r="E26" s="77"/>
      <c r="F26" s="77"/>
      <c r="G26" s="77"/>
      <c r="H26" s="77"/>
      <c r="I26" s="77"/>
    </row>
    <row r="27" spans="2:9" x14ac:dyDescent="0.25">
      <c r="B27" s="77"/>
      <c r="C27" s="77"/>
      <c r="D27" s="77"/>
      <c r="E27" s="77"/>
      <c r="F27" s="77"/>
      <c r="G27" s="77"/>
      <c r="H27" s="77"/>
      <c r="I27" s="77"/>
    </row>
  </sheetData>
  <sheetProtection algorithmName="SHA-512" hashValue="PQTw+5kYqw2Rqb8jSwJqoem8nwhCULcqUoluYzhynl3FnAoX9Y+A+OLrPLE/1capwKmjN1bBRcyS5FhLYfeBKQ==" saltValue="AJsP+LNinbWLTKMK1o+isQ==" spinCount="100000" sheet="1" objects="1" scenarios="1"/>
  <mergeCells count="9">
    <mergeCell ref="B11:I25"/>
    <mergeCell ref="B8:I8"/>
    <mergeCell ref="B2:I2"/>
    <mergeCell ref="B3:I3"/>
    <mergeCell ref="B4:I4"/>
    <mergeCell ref="B5:I5"/>
    <mergeCell ref="B6:I6"/>
    <mergeCell ref="B7:I7"/>
    <mergeCell ref="B10:I1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A55A-D41C-46B2-BA00-53DA897D6AA9}">
  <dimension ref="B2:C30"/>
  <sheetViews>
    <sheetView showGridLines="0" workbookViewId="0"/>
  </sheetViews>
  <sheetFormatPr defaultRowHeight="15" x14ac:dyDescent="0.25"/>
  <cols>
    <col min="1" max="1" width="4.7109375" customWidth="1"/>
    <col min="2" max="2" width="51.7109375" customWidth="1"/>
    <col min="3" max="3" width="11.5703125" bestFit="1" customWidth="1"/>
  </cols>
  <sheetData>
    <row r="2" spans="2:3" x14ac:dyDescent="0.25">
      <c r="B2" s="129" t="s">
        <v>138</v>
      </c>
      <c r="C2" s="129"/>
    </row>
    <row r="4" spans="2:3" x14ac:dyDescent="0.25">
      <c r="B4" s="9" t="s">
        <v>3</v>
      </c>
      <c r="C4" s="74" t="s">
        <v>98</v>
      </c>
    </row>
    <row r="5" spans="2:3" x14ac:dyDescent="0.25">
      <c r="B5" t="s">
        <v>93</v>
      </c>
      <c r="C5" s="13">
        <f>GrossRevenue_Year6</f>
        <v>15135</v>
      </c>
    </row>
    <row r="6" spans="2:3" s="20" customFormat="1" x14ac:dyDescent="0.25">
      <c r="B6" s="6" t="s">
        <v>130</v>
      </c>
      <c r="C6" s="18">
        <f>HarvestLaborCost_Year6+PostharvestLaborCost_Year6+ContainerCost_Year6</f>
        <v>4792</v>
      </c>
    </row>
    <row r="7" spans="2:3" s="20" customFormat="1" x14ac:dyDescent="0.25">
      <c r="B7" s="6" t="s">
        <v>121</v>
      </c>
      <c r="C7" s="18">
        <f>C5-C6</f>
        <v>10343</v>
      </c>
    </row>
    <row r="8" spans="2:3" s="20" customFormat="1" x14ac:dyDescent="0.25"/>
    <row r="9" spans="2:3" x14ac:dyDescent="0.25">
      <c r="B9" s="9" t="s">
        <v>70</v>
      </c>
      <c r="C9" s="74" t="s">
        <v>98</v>
      </c>
    </row>
    <row r="10" spans="2:3" x14ac:dyDescent="0.25">
      <c r="B10" t="s">
        <v>36</v>
      </c>
      <c r="C10" s="13">
        <f>MaterialCosts_Year3</f>
        <v>2358.8000000000002</v>
      </c>
    </row>
    <row r="11" spans="2:3" s="20" customFormat="1" x14ac:dyDescent="0.25">
      <c r="B11" s="20" t="s">
        <v>46</v>
      </c>
      <c r="C11" s="13">
        <f>EquipmentOpCosts_Year3</f>
        <v>339.64</v>
      </c>
    </row>
    <row r="12" spans="2:3" x14ac:dyDescent="0.25">
      <c r="B12" s="6" t="s">
        <v>94</v>
      </c>
      <c r="C12" s="18">
        <f>OrchardLaborCosts_Year3</f>
        <v>3360</v>
      </c>
    </row>
    <row r="13" spans="2:3" s="20" customFormat="1" x14ac:dyDescent="0.25"/>
    <row r="14" spans="2:3" x14ac:dyDescent="0.25">
      <c r="B14" s="9" t="s">
        <v>73</v>
      </c>
      <c r="C14" s="74" t="s">
        <v>98</v>
      </c>
    </row>
    <row r="15" spans="2:3" x14ac:dyDescent="0.25">
      <c r="B15" t="s">
        <v>96</v>
      </c>
      <c r="C15" s="13">
        <f>Annual_Depreciation/3</f>
        <v>1320</v>
      </c>
    </row>
    <row r="16" spans="2:3" s="20" customFormat="1" x14ac:dyDescent="0.25">
      <c r="B16" s="20" t="s">
        <v>97</v>
      </c>
      <c r="C16" s="13">
        <f>Annual_Interest_FixedAssets/3</f>
        <v>548.33333333333337</v>
      </c>
    </row>
    <row r="17" spans="2:3" s="20" customFormat="1" x14ac:dyDescent="0.25">
      <c r="B17" s="6" t="s">
        <v>95</v>
      </c>
      <c r="C17" s="18">
        <f>Annual_TaxesIns_FixedAssets/3</f>
        <v>164.5</v>
      </c>
    </row>
    <row r="19" spans="2:3" s="20" customFormat="1" x14ac:dyDescent="0.25">
      <c r="B19" s="7" t="s">
        <v>99</v>
      </c>
      <c r="C19" s="75">
        <f>AmortizedYear1Thru5Costs</f>
        <v>1996.3094489472585</v>
      </c>
    </row>
    <row r="20" spans="2:3" s="20" customFormat="1" x14ac:dyDescent="0.25"/>
    <row r="21" spans="2:3" s="20" customFormat="1" ht="15.75" thickBot="1" x14ac:dyDescent="0.3">
      <c r="B21" s="4" t="s">
        <v>136</v>
      </c>
      <c r="C21" s="76">
        <f>C7-SUM(C10:C12)-SUM(C15:C17)-C19</f>
        <v>255.41721771940752</v>
      </c>
    </row>
    <row r="22" spans="2:3" s="20" customFormat="1" x14ac:dyDescent="0.25">
      <c r="C22" s="14"/>
    </row>
    <row r="23" spans="2:3" s="20" customFormat="1" ht="15" customHeight="1" x14ac:dyDescent="0.25">
      <c r="B23" s="130" t="s">
        <v>137</v>
      </c>
      <c r="C23" s="130"/>
    </row>
    <row r="24" spans="2:3" s="20" customFormat="1" x14ac:dyDescent="0.25">
      <c r="B24" s="130"/>
      <c r="C24" s="130"/>
    </row>
    <row r="25" spans="2:3" x14ac:dyDescent="0.25">
      <c r="B25" s="130"/>
      <c r="C25" s="130"/>
    </row>
    <row r="26" spans="2:3" x14ac:dyDescent="0.25">
      <c r="B26" s="130"/>
      <c r="C26" s="130"/>
    </row>
    <row r="27" spans="2:3" x14ac:dyDescent="0.25">
      <c r="B27" s="130"/>
      <c r="C27" s="130"/>
    </row>
    <row r="28" spans="2:3" x14ac:dyDescent="0.25">
      <c r="B28" s="130"/>
      <c r="C28" s="130"/>
    </row>
    <row r="29" spans="2:3" x14ac:dyDescent="0.25">
      <c r="B29" s="121"/>
      <c r="C29" s="121"/>
    </row>
    <row r="30" spans="2:3" x14ac:dyDescent="0.25">
      <c r="B30" s="126"/>
      <c r="C30" s="126"/>
    </row>
  </sheetData>
  <sheetProtection algorithmName="SHA-512" hashValue="Hb/nXgDkur5o9XI8w1WNUiC7H0I4HyZt6eM3YPfzdoBTKnDiLt8ifl4rmIjITVzfqCFYUHFTgjs8DgxiYRFp9A==" saltValue="BQ9mZabm0ngH+PuPU3uPRA==" spinCount="100000" sheet="1" objects="1" scenarios="1"/>
  <mergeCells count="3">
    <mergeCell ref="B2:C2"/>
    <mergeCell ref="B30:C30"/>
    <mergeCell ref="B23:C2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AD688-BE8D-4B9A-87B2-F6789133F967}">
  <dimension ref="B2:H29"/>
  <sheetViews>
    <sheetView showGridLines="0" workbookViewId="0"/>
  </sheetViews>
  <sheetFormatPr defaultRowHeight="15" x14ac:dyDescent="0.25"/>
  <cols>
    <col min="1" max="1" width="4.7109375" customWidth="1"/>
    <col min="2" max="2" width="41.42578125" customWidth="1"/>
    <col min="3" max="3" width="12.7109375" customWidth="1"/>
    <col min="4" max="5" width="11.7109375" customWidth="1"/>
    <col min="6" max="6" width="12.7109375" customWidth="1"/>
    <col min="7" max="7" width="10.7109375" customWidth="1"/>
    <col min="8" max="8" width="5.7109375" customWidth="1"/>
  </cols>
  <sheetData>
    <row r="2" spans="2:8" s="11" customFormat="1" x14ac:dyDescent="0.25">
      <c r="B2" s="129" t="s">
        <v>35</v>
      </c>
      <c r="C2" s="129"/>
      <c r="D2" s="129"/>
      <c r="E2" s="129"/>
      <c r="F2" s="129"/>
      <c r="G2" s="129"/>
    </row>
    <row r="3" spans="2:8" x14ac:dyDescent="0.25">
      <c r="B3" s="132" t="s">
        <v>141</v>
      </c>
      <c r="C3" s="132"/>
      <c r="D3" s="132"/>
      <c r="E3" s="132"/>
      <c r="F3" s="132"/>
      <c r="G3" s="132"/>
      <c r="H3" s="16"/>
    </row>
    <row r="4" spans="2:8" ht="30" x14ac:dyDescent="0.25">
      <c r="B4" s="46" t="s">
        <v>67</v>
      </c>
      <c r="C4" s="54" t="s">
        <v>17</v>
      </c>
      <c r="D4" s="54" t="s">
        <v>142</v>
      </c>
      <c r="E4" s="54" t="s">
        <v>18</v>
      </c>
      <c r="F4" s="54" t="s">
        <v>27</v>
      </c>
      <c r="G4" s="54" t="s">
        <v>25</v>
      </c>
      <c r="H4" s="12"/>
    </row>
    <row r="5" spans="2:8" x14ac:dyDescent="0.25">
      <c r="B5" s="98" t="s">
        <v>26</v>
      </c>
      <c r="C5" s="99">
        <v>0</v>
      </c>
      <c r="D5" s="98">
        <v>20</v>
      </c>
      <c r="E5" s="99">
        <v>0</v>
      </c>
      <c r="F5" s="55">
        <f>(C5-E5)/D5</f>
        <v>0</v>
      </c>
      <c r="G5" s="100">
        <v>1</v>
      </c>
    </row>
    <row r="6" spans="2:8" x14ac:dyDescent="0.25">
      <c r="B6" s="98" t="s">
        <v>135</v>
      </c>
      <c r="C6" s="99">
        <v>10000</v>
      </c>
      <c r="D6" s="98">
        <v>20</v>
      </c>
      <c r="E6" s="99">
        <v>0</v>
      </c>
      <c r="F6" s="55">
        <f t="shared" ref="F6:F18" si="0">(C6-E6)/D6</f>
        <v>500</v>
      </c>
      <c r="G6" s="100">
        <v>1</v>
      </c>
    </row>
    <row r="7" spans="2:8" x14ac:dyDescent="0.25">
      <c r="B7" s="98" t="s">
        <v>62</v>
      </c>
      <c r="C7" s="99">
        <v>3000</v>
      </c>
      <c r="D7" s="98">
        <v>20</v>
      </c>
      <c r="E7" s="99">
        <v>0</v>
      </c>
      <c r="F7" s="55">
        <f t="shared" si="0"/>
        <v>150</v>
      </c>
      <c r="G7" s="100">
        <v>1</v>
      </c>
    </row>
    <row r="8" spans="2:8" x14ac:dyDescent="0.25">
      <c r="B8" s="98" t="s">
        <v>19</v>
      </c>
      <c r="C8" s="99">
        <v>5000</v>
      </c>
      <c r="D8" s="98">
        <v>10</v>
      </c>
      <c r="E8" s="99">
        <v>0</v>
      </c>
      <c r="F8" s="55">
        <f t="shared" si="0"/>
        <v>500</v>
      </c>
      <c r="G8" s="100">
        <v>1</v>
      </c>
    </row>
    <row r="9" spans="2:8" x14ac:dyDescent="0.25">
      <c r="B9" s="98" t="s">
        <v>20</v>
      </c>
      <c r="C9" s="99">
        <v>4000</v>
      </c>
      <c r="D9" s="98">
        <v>10</v>
      </c>
      <c r="E9" s="99">
        <v>0</v>
      </c>
      <c r="F9" s="55">
        <f t="shared" si="0"/>
        <v>400</v>
      </c>
      <c r="G9" s="100">
        <v>1</v>
      </c>
    </row>
    <row r="10" spans="2:8" s="119" customFormat="1" x14ac:dyDescent="0.25">
      <c r="B10" s="98" t="s">
        <v>109</v>
      </c>
      <c r="C10" s="99">
        <v>2000</v>
      </c>
      <c r="D10" s="98">
        <v>10</v>
      </c>
      <c r="E10" s="99">
        <v>0</v>
      </c>
      <c r="F10" s="55">
        <f t="shared" ref="F10" si="1">(C10-E10)/D10</f>
        <v>200</v>
      </c>
      <c r="G10" s="100">
        <v>1</v>
      </c>
    </row>
    <row r="11" spans="2:8" s="3" customFormat="1" x14ac:dyDescent="0.25">
      <c r="B11" s="98" t="s">
        <v>22</v>
      </c>
      <c r="C11" s="99">
        <v>600</v>
      </c>
      <c r="D11" s="98">
        <v>5</v>
      </c>
      <c r="E11" s="99">
        <v>0</v>
      </c>
      <c r="F11" s="55">
        <f t="shared" si="0"/>
        <v>120</v>
      </c>
      <c r="G11" s="100">
        <v>1</v>
      </c>
    </row>
    <row r="12" spans="2:8" s="92" customFormat="1" x14ac:dyDescent="0.25">
      <c r="B12" s="98" t="s">
        <v>21</v>
      </c>
      <c r="C12" s="99">
        <v>200</v>
      </c>
      <c r="D12" s="98">
        <v>5</v>
      </c>
      <c r="E12" s="99">
        <v>0</v>
      </c>
      <c r="F12" s="55">
        <f t="shared" ref="F12" si="2">(C12-E12)/D12</f>
        <v>40</v>
      </c>
      <c r="G12" s="100">
        <v>1</v>
      </c>
    </row>
    <row r="13" spans="2:8" x14ac:dyDescent="0.25">
      <c r="B13" s="46" t="s">
        <v>110</v>
      </c>
      <c r="C13" s="56"/>
      <c r="D13" s="57"/>
      <c r="E13" s="56"/>
      <c r="F13" s="58"/>
      <c r="G13" s="59"/>
    </row>
    <row r="14" spans="2:8" s="15" customFormat="1" x14ac:dyDescent="0.25">
      <c r="B14" s="101" t="s">
        <v>63</v>
      </c>
      <c r="C14" s="99">
        <v>20000</v>
      </c>
      <c r="D14" s="98">
        <v>20</v>
      </c>
      <c r="E14" s="99">
        <v>0</v>
      </c>
      <c r="F14" s="60">
        <f t="shared" si="0"/>
        <v>1000</v>
      </c>
      <c r="G14" s="100">
        <v>1</v>
      </c>
    </row>
    <row r="15" spans="2:8" x14ac:dyDescent="0.25">
      <c r="B15" s="98" t="s">
        <v>23</v>
      </c>
      <c r="C15" s="99">
        <v>8000</v>
      </c>
      <c r="D15" s="98">
        <v>20</v>
      </c>
      <c r="E15" s="99">
        <v>0</v>
      </c>
      <c r="F15" s="60">
        <f t="shared" si="0"/>
        <v>400</v>
      </c>
      <c r="G15" s="100">
        <v>1</v>
      </c>
    </row>
    <row r="16" spans="2:8" s="15" customFormat="1" x14ac:dyDescent="0.25">
      <c r="B16" s="98" t="s">
        <v>58</v>
      </c>
      <c r="C16" s="99">
        <v>1000</v>
      </c>
      <c r="D16" s="98">
        <v>20</v>
      </c>
      <c r="E16" s="99">
        <v>0</v>
      </c>
      <c r="F16" s="60">
        <f t="shared" si="0"/>
        <v>50</v>
      </c>
      <c r="G16" s="100">
        <v>1</v>
      </c>
    </row>
    <row r="17" spans="2:7" s="15" customFormat="1" x14ac:dyDescent="0.25">
      <c r="B17" s="98" t="s">
        <v>24</v>
      </c>
      <c r="C17" s="99">
        <v>10000</v>
      </c>
      <c r="D17" s="98">
        <v>20</v>
      </c>
      <c r="E17" s="99">
        <v>0</v>
      </c>
      <c r="F17" s="60">
        <f t="shared" ref="F17" si="3">(C17-E17)/D17</f>
        <v>500</v>
      </c>
      <c r="G17" s="100">
        <v>1</v>
      </c>
    </row>
    <row r="18" spans="2:7" s="11" customFormat="1" x14ac:dyDescent="0.25">
      <c r="B18" s="98" t="s">
        <v>111</v>
      </c>
      <c r="C18" s="99">
        <v>2000</v>
      </c>
      <c r="D18" s="98">
        <v>20</v>
      </c>
      <c r="E18" s="99">
        <v>0</v>
      </c>
      <c r="F18" s="60">
        <f t="shared" si="0"/>
        <v>100</v>
      </c>
      <c r="G18" s="100">
        <v>1</v>
      </c>
    </row>
    <row r="19" spans="2:7" x14ac:dyDescent="0.25">
      <c r="B19" s="49" t="s">
        <v>29</v>
      </c>
      <c r="C19" s="51">
        <f>SUM(C5:C18)</f>
        <v>65800</v>
      </c>
      <c r="D19" s="53"/>
      <c r="E19" s="61">
        <f>SUM(E5:E18)</f>
        <v>0</v>
      </c>
      <c r="F19" s="61">
        <f>SUM(F5:F18)</f>
        <v>3960</v>
      </c>
      <c r="G19" s="62"/>
    </row>
    <row r="20" spans="2:7" x14ac:dyDescent="0.25">
      <c r="C20" s="13"/>
    </row>
    <row r="21" spans="2:7" x14ac:dyDescent="0.25">
      <c r="B21" s="2" t="s">
        <v>139</v>
      </c>
      <c r="C21" s="14"/>
    </row>
    <row r="22" spans="2:7" x14ac:dyDescent="0.25">
      <c r="B22" s="50" t="s">
        <v>28</v>
      </c>
      <c r="C22" s="51">
        <f>SUMPRODUCT(C5:C18,G5:G18)</f>
        <v>65800</v>
      </c>
    </row>
    <row r="23" spans="2:7" x14ac:dyDescent="0.25">
      <c r="B23" s="50" t="s">
        <v>27</v>
      </c>
      <c r="C23" s="61">
        <f>SUMPRODUCT(F5:F18,G5:G18)</f>
        <v>3960</v>
      </c>
      <c r="D23" s="131" t="s">
        <v>34</v>
      </c>
      <c r="E23" s="131"/>
      <c r="F23" s="131"/>
      <c r="G23" s="55">
        <f>(C22+SUMPRODUCT(E5:E18,G5:G18))/2</f>
        <v>32900</v>
      </c>
    </row>
    <row r="24" spans="2:7" x14ac:dyDescent="0.25">
      <c r="B24" s="50" t="s">
        <v>30</v>
      </c>
      <c r="C24" s="51">
        <f>G23*G24</f>
        <v>1645</v>
      </c>
      <c r="D24" s="131" t="s">
        <v>33</v>
      </c>
      <c r="E24" s="131"/>
      <c r="F24" s="131"/>
      <c r="G24" s="102">
        <f>0.05</f>
        <v>0.05</v>
      </c>
    </row>
    <row r="25" spans="2:7" x14ac:dyDescent="0.25">
      <c r="B25" s="50" t="s">
        <v>31</v>
      </c>
      <c r="C25" s="51">
        <f>G23*G25</f>
        <v>493.5</v>
      </c>
      <c r="D25" s="131" t="s">
        <v>32</v>
      </c>
      <c r="E25" s="131"/>
      <c r="F25" s="131"/>
      <c r="G25" s="102">
        <v>1.4999999999999999E-2</v>
      </c>
    </row>
    <row r="26" spans="2:7" x14ac:dyDescent="0.25">
      <c r="B26" s="50" t="s">
        <v>60</v>
      </c>
      <c r="C26" s="51">
        <f>SUM(C23:C25)</f>
        <v>6098.5</v>
      </c>
    </row>
    <row r="27" spans="2:7" s="15" customFormat="1" x14ac:dyDescent="0.25">
      <c r="B27" s="50" t="s">
        <v>61</v>
      </c>
      <c r="C27" s="51">
        <f>C26/3</f>
        <v>2032.8333333333333</v>
      </c>
    </row>
    <row r="28" spans="2:7" s="15" customFormat="1" x14ac:dyDescent="0.25"/>
    <row r="29" spans="2:7" x14ac:dyDescent="0.25">
      <c r="B29" s="22" t="s">
        <v>133</v>
      </c>
    </row>
  </sheetData>
  <sheetProtection algorithmName="SHA-512" hashValue="aO5CDbbzSq/D3Ys5/vcbi4rdJkA1OD6JrB1WV7IogO5U85ROyeQyu8dqtgwF+hLC2169rtFncxKZ1BFBCQXpUw==" saltValue="c7kHRIBVNS8Py1Qi97DJ6w==" spinCount="100000" sheet="1" objects="1" scenarios="1"/>
  <mergeCells count="5">
    <mergeCell ref="D24:F24"/>
    <mergeCell ref="D25:F25"/>
    <mergeCell ref="D23:F23"/>
    <mergeCell ref="B2:G2"/>
    <mergeCell ref="B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A2C1-E347-4891-8A9E-6A699386D5F8}">
  <dimension ref="B1:J33"/>
  <sheetViews>
    <sheetView showGridLines="0" workbookViewId="0"/>
  </sheetViews>
  <sheetFormatPr defaultRowHeight="15" x14ac:dyDescent="0.25"/>
  <cols>
    <col min="1" max="1" width="4.7109375" style="15" customWidth="1"/>
    <col min="2" max="2" width="36" style="15" bestFit="1" customWidth="1"/>
    <col min="3" max="3" width="10.28515625" style="15" customWidth="1"/>
    <col min="4" max="4" width="12.7109375" style="15" customWidth="1"/>
    <col min="5" max="10" width="10.7109375" style="15" customWidth="1"/>
    <col min="11" max="11" width="5.7109375" style="15" customWidth="1"/>
    <col min="12" max="16384" width="9.140625" style="15"/>
  </cols>
  <sheetData>
    <row r="1" spans="2:10" s="20" customFormat="1" x14ac:dyDescent="0.25"/>
    <row r="2" spans="2:10" x14ac:dyDescent="0.25">
      <c r="B2" s="129" t="s">
        <v>44</v>
      </c>
      <c r="C2" s="129"/>
      <c r="D2" s="129"/>
      <c r="E2" s="129"/>
      <c r="F2" s="129"/>
      <c r="G2" s="129"/>
      <c r="H2" s="129"/>
      <c r="I2" s="129"/>
      <c r="J2" s="129"/>
    </row>
    <row r="3" spans="2:10" x14ac:dyDescent="0.25">
      <c r="B3" s="2"/>
      <c r="E3" s="133" t="s">
        <v>4</v>
      </c>
      <c r="F3" s="134"/>
      <c r="G3" s="133" t="s">
        <v>5</v>
      </c>
      <c r="H3" s="134"/>
      <c r="I3" s="133" t="s">
        <v>132</v>
      </c>
      <c r="J3" s="135"/>
    </row>
    <row r="4" spans="2:10" x14ac:dyDescent="0.25">
      <c r="B4" s="46" t="s">
        <v>36</v>
      </c>
      <c r="C4" s="46" t="s">
        <v>38</v>
      </c>
      <c r="D4" s="78" t="s">
        <v>39</v>
      </c>
      <c r="E4" s="79" t="s">
        <v>41</v>
      </c>
      <c r="F4" s="78" t="s">
        <v>42</v>
      </c>
      <c r="G4" s="79" t="s">
        <v>41</v>
      </c>
      <c r="H4" s="78" t="s">
        <v>42</v>
      </c>
      <c r="I4" s="79" t="s">
        <v>41</v>
      </c>
      <c r="J4" s="47" t="s">
        <v>42</v>
      </c>
    </row>
    <row r="5" spans="2:10" x14ac:dyDescent="0.25">
      <c r="B5" s="98" t="s">
        <v>66</v>
      </c>
      <c r="C5" s="98" t="s">
        <v>43</v>
      </c>
      <c r="D5" s="103">
        <v>2</v>
      </c>
      <c r="E5" s="104">
        <v>1210</v>
      </c>
      <c r="F5" s="82">
        <f>$D5*E5</f>
        <v>2420</v>
      </c>
      <c r="G5" s="104">
        <v>0</v>
      </c>
      <c r="H5" s="83">
        <f>$D5*G5</f>
        <v>0</v>
      </c>
      <c r="I5" s="106">
        <v>0</v>
      </c>
      <c r="J5" s="48">
        <f>$D5*I5</f>
        <v>0</v>
      </c>
    </row>
    <row r="6" spans="2:10" s="19" customFormat="1" x14ac:dyDescent="0.25">
      <c r="B6" s="98" t="s">
        <v>48</v>
      </c>
      <c r="C6" s="98" t="s">
        <v>45</v>
      </c>
      <c r="D6" s="103">
        <v>1200</v>
      </c>
      <c r="E6" s="104">
        <v>1</v>
      </c>
      <c r="F6" s="83">
        <f>$D6*E6</f>
        <v>1200</v>
      </c>
      <c r="G6" s="106">
        <v>0.5</v>
      </c>
      <c r="H6" s="82">
        <f>$D6*G6</f>
        <v>600</v>
      </c>
      <c r="I6" s="107">
        <v>0.2</v>
      </c>
      <c r="J6" s="48">
        <f>$D6*I6</f>
        <v>240</v>
      </c>
    </row>
    <row r="7" spans="2:10" s="19" customFormat="1" x14ac:dyDescent="0.25">
      <c r="B7" s="98" t="s">
        <v>68</v>
      </c>
      <c r="C7" s="98" t="s">
        <v>69</v>
      </c>
      <c r="D7" s="103">
        <v>0.28000000000000003</v>
      </c>
      <c r="E7" s="104">
        <v>3630</v>
      </c>
      <c r="F7" s="83">
        <f>$D7*E7</f>
        <v>1016.4000000000001</v>
      </c>
      <c r="G7" s="106">
        <v>0</v>
      </c>
      <c r="H7" s="82">
        <f>$D7*G7</f>
        <v>0</v>
      </c>
      <c r="I7" s="104">
        <v>1210</v>
      </c>
      <c r="J7" s="48">
        <f>$D7*I7</f>
        <v>338.8</v>
      </c>
    </row>
    <row r="8" spans="2:10" x14ac:dyDescent="0.25">
      <c r="B8" s="98" t="s">
        <v>37</v>
      </c>
      <c r="C8" s="98" t="s">
        <v>40</v>
      </c>
      <c r="D8" s="103">
        <v>20</v>
      </c>
      <c r="E8" s="104">
        <v>30</v>
      </c>
      <c r="F8" s="83">
        <f>$D8*E8</f>
        <v>600</v>
      </c>
      <c r="G8" s="106">
        <v>0</v>
      </c>
      <c r="H8" s="82">
        <f>$D8*G8</f>
        <v>0</v>
      </c>
      <c r="I8" s="104">
        <v>15</v>
      </c>
      <c r="J8" s="48">
        <f>$D8*I8</f>
        <v>300</v>
      </c>
    </row>
    <row r="9" spans="2:10" x14ac:dyDescent="0.25">
      <c r="B9" s="98" t="s">
        <v>112</v>
      </c>
      <c r="C9" s="98" t="s">
        <v>45</v>
      </c>
      <c r="D9" s="105">
        <v>1200</v>
      </c>
      <c r="E9" s="106">
        <v>1</v>
      </c>
      <c r="F9" s="82">
        <f t="shared" ref="F9:F10" si="0">$D9*E9</f>
        <v>1200</v>
      </c>
      <c r="G9" s="104">
        <v>1</v>
      </c>
      <c r="H9" s="82">
        <f t="shared" ref="H9:H10" si="1">$D9*G9</f>
        <v>1200</v>
      </c>
      <c r="I9" s="104">
        <v>1</v>
      </c>
      <c r="J9" s="48">
        <f t="shared" ref="J9:J10" si="2">$D9*I9</f>
        <v>1200</v>
      </c>
    </row>
    <row r="10" spans="2:10" x14ac:dyDescent="0.25">
      <c r="B10" s="98" t="s">
        <v>64</v>
      </c>
      <c r="C10" s="98" t="s">
        <v>45</v>
      </c>
      <c r="D10" s="103">
        <v>200</v>
      </c>
      <c r="E10" s="104">
        <v>1</v>
      </c>
      <c r="F10" s="82">
        <f t="shared" si="0"/>
        <v>200</v>
      </c>
      <c r="G10" s="104">
        <v>1</v>
      </c>
      <c r="H10" s="82">
        <f t="shared" si="1"/>
        <v>200</v>
      </c>
      <c r="I10" s="104">
        <v>1</v>
      </c>
      <c r="J10" s="48">
        <f t="shared" si="2"/>
        <v>200</v>
      </c>
    </row>
    <row r="11" spans="2:10" s="19" customFormat="1" x14ac:dyDescent="0.25">
      <c r="B11" s="98" t="s">
        <v>113</v>
      </c>
      <c r="C11" s="98" t="s">
        <v>45</v>
      </c>
      <c r="D11" s="103">
        <v>80</v>
      </c>
      <c r="E11" s="104">
        <v>1</v>
      </c>
      <c r="F11" s="82">
        <f t="shared" ref="F11" si="3">$D11*E11</f>
        <v>80</v>
      </c>
      <c r="G11" s="104">
        <v>1</v>
      </c>
      <c r="H11" s="82">
        <f t="shared" ref="H11" si="4">$D11*G11</f>
        <v>80</v>
      </c>
      <c r="I11" s="104">
        <v>1</v>
      </c>
      <c r="J11" s="48">
        <f t="shared" ref="J11" si="5">$D11*I11</f>
        <v>80</v>
      </c>
    </row>
    <row r="12" spans="2:10" x14ac:dyDescent="0.25">
      <c r="B12" s="46" t="s">
        <v>46</v>
      </c>
      <c r="C12" s="46" t="s">
        <v>38</v>
      </c>
      <c r="D12" s="78" t="s">
        <v>39</v>
      </c>
      <c r="E12" s="79" t="s">
        <v>41</v>
      </c>
      <c r="F12" s="85" t="s">
        <v>42</v>
      </c>
      <c r="G12" s="84" t="s">
        <v>41</v>
      </c>
      <c r="H12" s="85" t="s">
        <v>42</v>
      </c>
      <c r="I12" s="84" t="s">
        <v>41</v>
      </c>
      <c r="J12" s="47" t="s">
        <v>42</v>
      </c>
    </row>
    <row r="13" spans="2:10" x14ac:dyDescent="0.25">
      <c r="B13" s="98" t="s">
        <v>134</v>
      </c>
      <c r="C13" s="98" t="s">
        <v>56</v>
      </c>
      <c r="D13" s="103">
        <v>0.12</v>
      </c>
      <c r="E13" s="104">
        <v>747</v>
      </c>
      <c r="F13" s="82">
        <f t="shared" ref="F13:F15" si="6">$D13*E13</f>
        <v>89.64</v>
      </c>
      <c r="G13" s="104">
        <v>747</v>
      </c>
      <c r="H13" s="82">
        <f t="shared" ref="H13:H15" si="7">$D13*G13</f>
        <v>89.64</v>
      </c>
      <c r="I13" s="104">
        <v>747</v>
      </c>
      <c r="J13" s="48">
        <f t="shared" ref="J13:J15" si="8">$D13*I13</f>
        <v>89.64</v>
      </c>
    </row>
    <row r="14" spans="2:10" s="19" customFormat="1" x14ac:dyDescent="0.25">
      <c r="B14" s="98" t="s">
        <v>114</v>
      </c>
      <c r="C14" s="98" t="s">
        <v>47</v>
      </c>
      <c r="D14" s="103">
        <v>2.5</v>
      </c>
      <c r="E14" s="104">
        <v>70</v>
      </c>
      <c r="F14" s="82">
        <f t="shared" si="6"/>
        <v>175</v>
      </c>
      <c r="G14" s="104">
        <v>40</v>
      </c>
      <c r="H14" s="82">
        <f t="shared" si="7"/>
        <v>100</v>
      </c>
      <c r="I14" s="104">
        <v>40</v>
      </c>
      <c r="J14" s="48">
        <f t="shared" si="8"/>
        <v>100</v>
      </c>
    </row>
    <row r="15" spans="2:10" x14ac:dyDescent="0.25">
      <c r="B15" s="98" t="s">
        <v>51</v>
      </c>
      <c r="C15" s="98" t="s">
        <v>45</v>
      </c>
      <c r="D15" s="103">
        <v>150</v>
      </c>
      <c r="E15" s="104">
        <v>1</v>
      </c>
      <c r="F15" s="83">
        <f t="shared" si="6"/>
        <v>150</v>
      </c>
      <c r="G15" s="106">
        <v>1</v>
      </c>
      <c r="H15" s="82">
        <f t="shared" si="7"/>
        <v>150</v>
      </c>
      <c r="I15" s="104">
        <v>1</v>
      </c>
      <c r="J15" s="48">
        <f t="shared" si="8"/>
        <v>150</v>
      </c>
    </row>
    <row r="16" spans="2:10" x14ac:dyDescent="0.25">
      <c r="B16" s="46" t="s">
        <v>94</v>
      </c>
      <c r="C16" s="46" t="s">
        <v>38</v>
      </c>
      <c r="D16" s="78" t="s">
        <v>39</v>
      </c>
      <c r="E16" s="79" t="s">
        <v>41</v>
      </c>
      <c r="F16" s="78" t="s">
        <v>42</v>
      </c>
      <c r="G16" s="79" t="s">
        <v>41</v>
      </c>
      <c r="H16" s="78" t="s">
        <v>42</v>
      </c>
      <c r="I16" s="79" t="s">
        <v>41</v>
      </c>
      <c r="J16" s="47" t="s">
        <v>42</v>
      </c>
    </row>
    <row r="17" spans="2:10" x14ac:dyDescent="0.25">
      <c r="B17" s="98" t="s">
        <v>49</v>
      </c>
      <c r="C17" s="98" t="s">
        <v>57</v>
      </c>
      <c r="D17" s="103">
        <v>14</v>
      </c>
      <c r="E17" s="104">
        <v>20</v>
      </c>
      <c r="F17" s="82">
        <f t="shared" ref="F17:F25" si="9">$D17*E17</f>
        <v>280</v>
      </c>
      <c r="G17" s="104">
        <v>0</v>
      </c>
      <c r="H17" s="82">
        <f t="shared" ref="H17:H26" si="10">$D17*G17</f>
        <v>0</v>
      </c>
      <c r="I17" s="104">
        <v>0</v>
      </c>
      <c r="J17" s="48">
        <f t="shared" ref="J17:J26" si="11">$D17*I17</f>
        <v>0</v>
      </c>
    </row>
    <row r="18" spans="2:10" x14ac:dyDescent="0.25">
      <c r="B18" s="98" t="s">
        <v>50</v>
      </c>
      <c r="C18" s="98" t="s">
        <v>57</v>
      </c>
      <c r="D18" s="103">
        <v>14</v>
      </c>
      <c r="E18" s="104">
        <v>8</v>
      </c>
      <c r="F18" s="82">
        <f t="shared" si="9"/>
        <v>112</v>
      </c>
      <c r="G18" s="104">
        <v>0</v>
      </c>
      <c r="H18" s="82">
        <f t="shared" si="10"/>
        <v>0</v>
      </c>
      <c r="I18" s="104">
        <v>8</v>
      </c>
      <c r="J18" s="48">
        <f t="shared" si="11"/>
        <v>112</v>
      </c>
    </row>
    <row r="19" spans="2:10" x14ac:dyDescent="0.25">
      <c r="B19" s="98" t="s">
        <v>65</v>
      </c>
      <c r="C19" s="98" t="s">
        <v>57</v>
      </c>
      <c r="D19" s="105">
        <v>14</v>
      </c>
      <c r="E19" s="106">
        <v>4</v>
      </c>
      <c r="F19" s="82">
        <f t="shared" si="9"/>
        <v>56</v>
      </c>
      <c r="G19" s="104">
        <v>0</v>
      </c>
      <c r="H19" s="82">
        <f t="shared" si="10"/>
        <v>0</v>
      </c>
      <c r="I19" s="104">
        <v>0</v>
      </c>
      <c r="J19" s="48">
        <f t="shared" si="11"/>
        <v>0</v>
      </c>
    </row>
    <row r="20" spans="2:10" x14ac:dyDescent="0.25">
      <c r="B20" s="98" t="s">
        <v>71</v>
      </c>
      <c r="C20" s="98" t="s">
        <v>57</v>
      </c>
      <c r="D20" s="105">
        <v>14</v>
      </c>
      <c r="E20" s="106">
        <v>40</v>
      </c>
      <c r="F20" s="82">
        <f t="shared" si="9"/>
        <v>560</v>
      </c>
      <c r="G20" s="104">
        <v>10</v>
      </c>
      <c r="H20" s="82">
        <f t="shared" si="10"/>
        <v>140</v>
      </c>
      <c r="I20" s="104">
        <v>2</v>
      </c>
      <c r="J20" s="48">
        <f t="shared" si="11"/>
        <v>28</v>
      </c>
    </row>
    <row r="21" spans="2:10" s="20" customFormat="1" x14ac:dyDescent="0.25">
      <c r="B21" s="98" t="s">
        <v>115</v>
      </c>
      <c r="C21" s="98" t="s">
        <v>57</v>
      </c>
      <c r="D21" s="103">
        <v>14</v>
      </c>
      <c r="E21" s="104">
        <v>8</v>
      </c>
      <c r="F21" s="83">
        <f t="shared" si="9"/>
        <v>112</v>
      </c>
      <c r="G21" s="106">
        <v>10</v>
      </c>
      <c r="H21" s="82">
        <f t="shared" si="10"/>
        <v>140</v>
      </c>
      <c r="I21" s="104">
        <v>10</v>
      </c>
      <c r="J21" s="48">
        <f t="shared" si="11"/>
        <v>140</v>
      </c>
    </row>
    <row r="22" spans="2:10" x14ac:dyDescent="0.25">
      <c r="B22" s="98" t="s">
        <v>53</v>
      </c>
      <c r="C22" s="98" t="s">
        <v>57</v>
      </c>
      <c r="D22" s="103">
        <v>14</v>
      </c>
      <c r="E22" s="104">
        <v>100</v>
      </c>
      <c r="F22" s="82">
        <f t="shared" si="9"/>
        <v>1400</v>
      </c>
      <c r="G22" s="104">
        <v>80</v>
      </c>
      <c r="H22" s="82">
        <f t="shared" si="10"/>
        <v>1120</v>
      </c>
      <c r="I22" s="104">
        <v>60</v>
      </c>
      <c r="J22" s="48">
        <f t="shared" si="11"/>
        <v>840</v>
      </c>
    </row>
    <row r="23" spans="2:10" x14ac:dyDescent="0.25">
      <c r="B23" s="98" t="s">
        <v>72</v>
      </c>
      <c r="C23" s="98" t="s">
        <v>57</v>
      </c>
      <c r="D23" s="105">
        <v>14</v>
      </c>
      <c r="E23" s="106">
        <v>50</v>
      </c>
      <c r="F23" s="82">
        <f t="shared" si="9"/>
        <v>700</v>
      </c>
      <c r="G23" s="104">
        <v>20</v>
      </c>
      <c r="H23" s="83">
        <f t="shared" si="10"/>
        <v>280</v>
      </c>
      <c r="I23" s="106">
        <v>20</v>
      </c>
      <c r="J23" s="48">
        <f t="shared" si="11"/>
        <v>280</v>
      </c>
    </row>
    <row r="24" spans="2:10" x14ac:dyDescent="0.25">
      <c r="B24" s="98" t="s">
        <v>52</v>
      </c>
      <c r="C24" s="98" t="s">
        <v>57</v>
      </c>
      <c r="D24" s="103">
        <v>14</v>
      </c>
      <c r="E24" s="104">
        <v>80</v>
      </c>
      <c r="F24" s="82">
        <f t="shared" si="9"/>
        <v>1120</v>
      </c>
      <c r="G24" s="104">
        <v>60</v>
      </c>
      <c r="H24" s="82">
        <f t="shared" si="10"/>
        <v>840</v>
      </c>
      <c r="I24" s="104">
        <v>60</v>
      </c>
      <c r="J24" s="48">
        <f t="shared" si="11"/>
        <v>840</v>
      </c>
    </row>
    <row r="25" spans="2:10" x14ac:dyDescent="0.25">
      <c r="B25" s="98" t="s">
        <v>54</v>
      </c>
      <c r="C25" s="98" t="s">
        <v>57</v>
      </c>
      <c r="D25" s="103">
        <v>14</v>
      </c>
      <c r="E25" s="104">
        <v>30</v>
      </c>
      <c r="F25" s="82">
        <f t="shared" si="9"/>
        <v>420</v>
      </c>
      <c r="G25" s="104">
        <v>60</v>
      </c>
      <c r="H25" s="82">
        <f t="shared" si="10"/>
        <v>840</v>
      </c>
      <c r="I25" s="104">
        <v>60</v>
      </c>
      <c r="J25" s="48">
        <f t="shared" si="11"/>
        <v>840</v>
      </c>
    </row>
    <row r="26" spans="2:10" x14ac:dyDescent="0.25">
      <c r="B26" s="98" t="s">
        <v>55</v>
      </c>
      <c r="C26" s="98" t="s">
        <v>57</v>
      </c>
      <c r="D26" s="103">
        <v>14</v>
      </c>
      <c r="E26" s="104">
        <v>0</v>
      </c>
      <c r="F26" s="82">
        <f>$D26*E26</f>
        <v>0</v>
      </c>
      <c r="G26" s="104">
        <v>0</v>
      </c>
      <c r="H26" s="83">
        <f t="shared" si="10"/>
        <v>0</v>
      </c>
      <c r="I26" s="106">
        <v>20</v>
      </c>
      <c r="J26" s="48">
        <f t="shared" si="11"/>
        <v>280</v>
      </c>
    </row>
    <row r="27" spans="2:10" x14ac:dyDescent="0.25">
      <c r="B27" s="49" t="s">
        <v>59</v>
      </c>
      <c r="C27" s="52"/>
      <c r="D27" s="80"/>
      <c r="E27" s="81"/>
      <c r="F27" s="87">
        <f>SUM(F5:F26)</f>
        <v>11891.04</v>
      </c>
      <c r="G27" s="86"/>
      <c r="H27" s="88">
        <f>SUM(H5:H26)</f>
        <v>5779.6399999999994</v>
      </c>
      <c r="I27" s="89"/>
      <c r="J27" s="51">
        <f>SUM(J5:J26)</f>
        <v>6058.4400000000005</v>
      </c>
    </row>
    <row r="29" spans="2:10" x14ac:dyDescent="0.25">
      <c r="B29" s="73" t="s">
        <v>120</v>
      </c>
    </row>
    <row r="30" spans="2:10" x14ac:dyDescent="0.25">
      <c r="B30" s="22" t="s">
        <v>116</v>
      </c>
      <c r="F30" s="14">
        <f>SUM(F5:F11)</f>
        <v>6716.4</v>
      </c>
      <c r="H30" s="14">
        <f>SUM(H5:H11)</f>
        <v>2080</v>
      </c>
      <c r="J30" s="14">
        <f>SUM(J5:J11)</f>
        <v>2358.8000000000002</v>
      </c>
    </row>
    <row r="31" spans="2:10" x14ac:dyDescent="0.25">
      <c r="B31" s="22" t="s">
        <v>117</v>
      </c>
      <c r="F31" s="14">
        <f>SUM(F13:F15)</f>
        <v>414.64</v>
      </c>
      <c r="H31" s="14">
        <f>SUM(H13:H15)</f>
        <v>339.64</v>
      </c>
      <c r="J31" s="14">
        <f>SUM(J13:J15)</f>
        <v>339.64</v>
      </c>
    </row>
    <row r="32" spans="2:10" x14ac:dyDescent="0.25">
      <c r="B32" s="22" t="s">
        <v>118</v>
      </c>
      <c r="F32" s="14">
        <f>SUM(F17:F26)</f>
        <v>4760</v>
      </c>
      <c r="H32" s="14">
        <f>SUM(H17:H26)</f>
        <v>3360</v>
      </c>
      <c r="J32" s="14">
        <f>SUM(J17:J26)</f>
        <v>3360</v>
      </c>
    </row>
    <row r="33" spans="2:10" x14ac:dyDescent="0.25">
      <c r="B33" s="22" t="s">
        <v>119</v>
      </c>
      <c r="F33" s="93">
        <f>SUM(E17:E26)</f>
        <v>340</v>
      </c>
      <c r="H33" s="93">
        <f>SUM(G17:G26)</f>
        <v>240</v>
      </c>
      <c r="J33" s="93">
        <f>SUM(I17:I26)</f>
        <v>240</v>
      </c>
    </row>
  </sheetData>
  <sheetProtection algorithmName="SHA-512" hashValue="QuN39BcJ7edQeiBfYSRuXRO14g0bNFKPTtvPhhmndtOSh5TITIKAeToTCfrwQNkh9Mb7Vot5qtQP/hy0YywFoA==" saltValue="4p/1V9GE3/SgrijNPwSZww==" spinCount="100000" sheet="1" objects="1" scenarios="1"/>
  <mergeCells count="4">
    <mergeCell ref="E3:F3"/>
    <mergeCell ref="G3:H3"/>
    <mergeCell ref="I3:J3"/>
    <mergeCell ref="B2:J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CDF3-3B56-4060-8124-2F4F390500DD}">
  <dimension ref="B2:H26"/>
  <sheetViews>
    <sheetView showGridLines="0" workbookViewId="0"/>
  </sheetViews>
  <sheetFormatPr defaultRowHeight="15" x14ac:dyDescent="0.25"/>
  <cols>
    <col min="1" max="1" width="4.7109375" customWidth="1"/>
    <col min="2" max="2" width="41.28515625" customWidth="1"/>
    <col min="3" max="8" width="12.7109375" customWidth="1"/>
    <col min="9" max="9" width="5.7109375" customWidth="1"/>
  </cols>
  <sheetData>
    <row r="2" spans="2:8" x14ac:dyDescent="0.25">
      <c r="B2" s="129" t="s">
        <v>16</v>
      </c>
      <c r="C2" s="129"/>
      <c r="D2" s="129"/>
      <c r="E2" s="129"/>
      <c r="F2" s="129"/>
      <c r="G2" s="129"/>
      <c r="H2" s="129"/>
    </row>
    <row r="4" spans="2:8" ht="15.75" thickBot="1" x14ac:dyDescent="0.3">
      <c r="B4" s="44" t="s">
        <v>15</v>
      </c>
      <c r="C4" s="90" t="s">
        <v>4</v>
      </c>
      <c r="D4" s="90" t="s">
        <v>5</v>
      </c>
      <c r="E4" s="90" t="s">
        <v>6</v>
      </c>
      <c r="F4" s="90" t="s">
        <v>7</v>
      </c>
      <c r="G4" s="90" t="s">
        <v>8</v>
      </c>
      <c r="H4" s="90" t="s">
        <v>131</v>
      </c>
    </row>
    <row r="5" spans="2:8" x14ac:dyDescent="0.25">
      <c r="B5" s="5" t="s">
        <v>122</v>
      </c>
      <c r="C5" s="122">
        <v>0</v>
      </c>
      <c r="D5" s="122">
        <v>250</v>
      </c>
      <c r="E5" s="122">
        <v>1000</v>
      </c>
      <c r="F5" s="122">
        <v>2500</v>
      </c>
      <c r="G5" s="122">
        <v>4000</v>
      </c>
      <c r="H5" s="122">
        <v>4500</v>
      </c>
    </row>
    <row r="6" spans="2:8" x14ac:dyDescent="0.25">
      <c r="B6" t="s">
        <v>9</v>
      </c>
      <c r="C6" s="108">
        <v>0.05</v>
      </c>
      <c r="D6" s="108">
        <v>0.05</v>
      </c>
      <c r="E6" s="108">
        <v>0.05</v>
      </c>
      <c r="F6" s="108">
        <v>0.05</v>
      </c>
      <c r="G6" s="108">
        <v>0.05</v>
      </c>
      <c r="H6" s="108">
        <v>0.05</v>
      </c>
    </row>
    <row r="7" spans="2:8" s="1" customFormat="1" x14ac:dyDescent="0.25">
      <c r="B7" s="6" t="s">
        <v>10</v>
      </c>
      <c r="C7" s="109">
        <v>0.95</v>
      </c>
      <c r="D7" s="109">
        <v>0.95</v>
      </c>
      <c r="E7" s="109">
        <v>0.95</v>
      </c>
      <c r="F7" s="109">
        <v>0.95</v>
      </c>
      <c r="G7" s="109">
        <v>0.95</v>
      </c>
      <c r="H7" s="109">
        <v>0.95</v>
      </c>
    </row>
    <row r="8" spans="2:8" x14ac:dyDescent="0.25">
      <c r="B8" t="s">
        <v>123</v>
      </c>
      <c r="C8" s="110">
        <v>6</v>
      </c>
      <c r="D8" s="110">
        <v>6</v>
      </c>
      <c r="E8" s="110">
        <v>6</v>
      </c>
      <c r="F8" s="110">
        <v>6</v>
      </c>
      <c r="G8" s="110">
        <v>6</v>
      </c>
      <c r="H8" s="110">
        <v>6</v>
      </c>
    </row>
    <row r="9" spans="2:8" s="1" customFormat="1" x14ac:dyDescent="0.25">
      <c r="B9" s="6" t="s">
        <v>124</v>
      </c>
      <c r="C9" s="111">
        <v>3</v>
      </c>
      <c r="D9" s="111">
        <v>3</v>
      </c>
      <c r="E9" s="111">
        <v>3</v>
      </c>
      <c r="F9" s="111">
        <v>3</v>
      </c>
      <c r="G9" s="111">
        <v>3</v>
      </c>
      <c r="H9" s="111">
        <v>3</v>
      </c>
    </row>
    <row r="10" spans="2:8" s="1" customFormat="1" x14ac:dyDescent="0.25">
      <c r="B10" s="7" t="s">
        <v>145</v>
      </c>
      <c r="C10" s="112">
        <v>0</v>
      </c>
      <c r="D10" s="112">
        <v>0</v>
      </c>
      <c r="E10" s="112">
        <v>30</v>
      </c>
      <c r="F10" s="112">
        <v>60</v>
      </c>
      <c r="G10" s="112">
        <v>90</v>
      </c>
      <c r="H10" s="112">
        <v>120</v>
      </c>
    </row>
    <row r="11" spans="2:8" s="1" customFormat="1" x14ac:dyDescent="0.25">
      <c r="B11" s="1" t="s">
        <v>11</v>
      </c>
      <c r="C11" s="108">
        <v>1</v>
      </c>
      <c r="D11" s="108">
        <v>1</v>
      </c>
      <c r="E11" s="108">
        <v>1</v>
      </c>
      <c r="F11" s="108">
        <v>1</v>
      </c>
      <c r="G11" s="108">
        <v>1</v>
      </c>
      <c r="H11" s="108">
        <v>1</v>
      </c>
    </row>
    <row r="12" spans="2:8" s="1" customFormat="1" x14ac:dyDescent="0.25">
      <c r="B12" s="6" t="s">
        <v>12</v>
      </c>
      <c r="C12" s="109"/>
      <c r="D12" s="109"/>
      <c r="E12" s="109"/>
      <c r="F12" s="109"/>
      <c r="G12" s="109"/>
      <c r="H12" s="109"/>
    </row>
    <row r="13" spans="2:8" s="1" customFormat="1" x14ac:dyDescent="0.25">
      <c r="B13" s="1" t="s">
        <v>146</v>
      </c>
      <c r="C13" s="110">
        <v>8</v>
      </c>
      <c r="D13" s="110">
        <v>8</v>
      </c>
      <c r="E13" s="110">
        <v>8</v>
      </c>
      <c r="F13" s="110">
        <v>8</v>
      </c>
      <c r="G13" s="110">
        <v>8</v>
      </c>
      <c r="H13" s="110">
        <v>8</v>
      </c>
    </row>
    <row r="14" spans="2:8" s="1" customFormat="1" ht="15.75" thickBot="1" x14ac:dyDescent="0.3">
      <c r="B14" s="8" t="s">
        <v>147</v>
      </c>
      <c r="C14" s="113"/>
      <c r="D14" s="113"/>
      <c r="E14" s="113"/>
      <c r="F14" s="113"/>
      <c r="G14" s="113"/>
      <c r="H14" s="113"/>
    </row>
    <row r="15" spans="2:8" s="1" customFormat="1" x14ac:dyDescent="0.25">
      <c r="B15" s="2" t="s">
        <v>100</v>
      </c>
      <c r="C15" s="91">
        <f>(C5*C6*C8)+(C5*C7*C9)+(C10*C11*C13)+(C10*C12*C14)</f>
        <v>0</v>
      </c>
      <c r="D15" s="91">
        <f t="shared" ref="D15:H15" si="0">(D5*D6*D8)+(D5*D7*D9)+(D10*D11*D13)+(D10*D12*D14)</f>
        <v>787.5</v>
      </c>
      <c r="E15" s="91">
        <f t="shared" si="0"/>
        <v>3390</v>
      </c>
      <c r="F15" s="91">
        <f t="shared" si="0"/>
        <v>8355</v>
      </c>
      <c r="G15" s="91">
        <f t="shared" si="0"/>
        <v>13320</v>
      </c>
      <c r="H15" s="91">
        <f t="shared" si="0"/>
        <v>15135</v>
      </c>
    </row>
    <row r="16" spans="2:8" s="1" customFormat="1" x14ac:dyDescent="0.25"/>
    <row r="17" spans="2:8" s="1" customFormat="1" x14ac:dyDescent="0.25">
      <c r="B17" s="45" t="s">
        <v>125</v>
      </c>
      <c r="C17" s="45" t="s">
        <v>4</v>
      </c>
      <c r="D17" s="45" t="s">
        <v>5</v>
      </c>
      <c r="E17" s="45" t="s">
        <v>6</v>
      </c>
      <c r="F17" s="45" t="s">
        <v>7</v>
      </c>
      <c r="G17" s="45" t="s">
        <v>8</v>
      </c>
      <c r="H17" s="45" t="s">
        <v>131</v>
      </c>
    </row>
    <row r="18" spans="2:8" s="1" customFormat="1" x14ac:dyDescent="0.25">
      <c r="B18" s="1" t="s">
        <v>13</v>
      </c>
      <c r="C18" s="114">
        <f>ROUND((C5/30)+(C10/10),0)</f>
        <v>0</v>
      </c>
      <c r="D18" s="114">
        <f t="shared" ref="D18:H18" si="1">ROUND((D5/30)+(D10/10),0)</f>
        <v>8</v>
      </c>
      <c r="E18" s="114">
        <f t="shared" si="1"/>
        <v>36</v>
      </c>
      <c r="F18" s="114">
        <f t="shared" si="1"/>
        <v>89</v>
      </c>
      <c r="G18" s="114">
        <f t="shared" si="1"/>
        <v>142</v>
      </c>
      <c r="H18" s="114">
        <f t="shared" si="1"/>
        <v>162</v>
      </c>
    </row>
    <row r="19" spans="2:8" x14ac:dyDescent="0.25">
      <c r="B19" s="94" t="s">
        <v>105</v>
      </c>
      <c r="C19" s="115">
        <v>14</v>
      </c>
      <c r="D19" s="115">
        <v>14</v>
      </c>
      <c r="E19" s="115">
        <v>14</v>
      </c>
      <c r="F19" s="115">
        <v>14</v>
      </c>
      <c r="G19" s="115">
        <v>14</v>
      </c>
      <c r="H19" s="115">
        <v>14</v>
      </c>
    </row>
    <row r="20" spans="2:8" x14ac:dyDescent="0.25">
      <c r="B20" s="9" t="s">
        <v>101</v>
      </c>
      <c r="C20" s="96">
        <f>C18*C19</f>
        <v>0</v>
      </c>
      <c r="D20" s="96">
        <f t="shared" ref="D20:H20" si="2">D18*D19</f>
        <v>112</v>
      </c>
      <c r="E20" s="96">
        <f t="shared" si="2"/>
        <v>504</v>
      </c>
      <c r="F20" s="96">
        <f t="shared" si="2"/>
        <v>1246</v>
      </c>
      <c r="G20" s="96">
        <f t="shared" si="2"/>
        <v>1988</v>
      </c>
      <c r="H20" s="96">
        <f t="shared" si="2"/>
        <v>2268</v>
      </c>
    </row>
    <row r="21" spans="2:8" x14ac:dyDescent="0.25">
      <c r="B21" t="s">
        <v>14</v>
      </c>
      <c r="C21" s="116">
        <f>ROUND((C5+C10)/40,0)</f>
        <v>0</v>
      </c>
      <c r="D21" s="116">
        <f t="shared" ref="D21:H21" si="3">ROUND((D5+D10)/40,0)</f>
        <v>6</v>
      </c>
      <c r="E21" s="116">
        <f t="shared" si="3"/>
        <v>26</v>
      </c>
      <c r="F21" s="116">
        <f t="shared" si="3"/>
        <v>64</v>
      </c>
      <c r="G21" s="116">
        <f t="shared" si="3"/>
        <v>102</v>
      </c>
      <c r="H21" s="116">
        <f t="shared" si="3"/>
        <v>116</v>
      </c>
    </row>
    <row r="22" spans="2:8" x14ac:dyDescent="0.25">
      <c r="B22" s="95" t="s">
        <v>106</v>
      </c>
      <c r="C22" s="115">
        <v>14</v>
      </c>
      <c r="D22" s="115">
        <v>14</v>
      </c>
      <c r="E22" s="115">
        <v>14</v>
      </c>
      <c r="F22" s="115">
        <v>14</v>
      </c>
      <c r="G22" s="115">
        <v>14</v>
      </c>
      <c r="H22" s="115">
        <v>14</v>
      </c>
    </row>
    <row r="23" spans="2:8" x14ac:dyDescent="0.25">
      <c r="B23" s="9" t="s">
        <v>102</v>
      </c>
      <c r="C23" s="97">
        <f>C21*C22</f>
        <v>0</v>
      </c>
      <c r="D23" s="97">
        <f t="shared" ref="D23:H23" si="4">D21*D22</f>
        <v>84</v>
      </c>
      <c r="E23" s="97">
        <f t="shared" si="4"/>
        <v>364</v>
      </c>
      <c r="F23" s="97">
        <f t="shared" si="4"/>
        <v>896</v>
      </c>
      <c r="G23" s="97">
        <f t="shared" si="4"/>
        <v>1428</v>
      </c>
      <c r="H23" s="97">
        <f t="shared" si="4"/>
        <v>1624</v>
      </c>
    </row>
    <row r="24" spans="2:8" x14ac:dyDescent="0.25">
      <c r="B24" s="73" t="s">
        <v>126</v>
      </c>
      <c r="C24" s="117">
        <f>C5*0.2</f>
        <v>0</v>
      </c>
      <c r="D24" s="118">
        <f t="shared" ref="D24:H24" si="5">D5*0.2</f>
        <v>50</v>
      </c>
      <c r="E24" s="118">
        <f t="shared" si="5"/>
        <v>200</v>
      </c>
      <c r="F24" s="118">
        <f t="shared" si="5"/>
        <v>500</v>
      </c>
      <c r="G24" s="118">
        <f t="shared" si="5"/>
        <v>800</v>
      </c>
      <c r="H24" s="118">
        <f t="shared" si="5"/>
        <v>900</v>
      </c>
    </row>
    <row r="25" spans="2:8" s="92" customFormat="1" x14ac:dyDescent="0.25"/>
    <row r="26" spans="2:8" ht="15.75" thickBot="1" x14ac:dyDescent="0.3">
      <c r="B26" s="10" t="s">
        <v>121</v>
      </c>
      <c r="C26" s="63">
        <f>C15-C20-C23-C24</f>
        <v>0</v>
      </c>
      <c r="D26" s="63">
        <f t="shared" ref="D26:H26" si="6">D15-D20-D23-D24</f>
        <v>541.5</v>
      </c>
      <c r="E26" s="63">
        <f t="shared" si="6"/>
        <v>2322</v>
      </c>
      <c r="F26" s="63">
        <f t="shared" si="6"/>
        <v>5713</v>
      </c>
      <c r="G26" s="63">
        <f t="shared" si="6"/>
        <v>9104</v>
      </c>
      <c r="H26" s="63">
        <f t="shared" si="6"/>
        <v>10343</v>
      </c>
    </row>
  </sheetData>
  <sheetProtection algorithmName="SHA-512" hashValue="joGamKnWROPoVT0eDxGEPDrZdMlkZn/rTZISboxg5ag7BCiiQc00mgoFdotyVjF9o5L/wxqEq2a3CeaAOpWdyA==" saltValue="KXjK4CRPqhc8aLXaU/H2Wg==" spinCount="100000" sheet="1" objects="1" scenarios="1"/>
  <mergeCells count="1">
    <mergeCell ref="B2:H2"/>
  </mergeCells>
  <pageMargins left="0.7" right="0.7" top="0.75" bottom="0.75" header="0.3" footer="0.3"/>
  <pageSetup orientation="portrait" horizontalDpi="0" verticalDpi="0" r:id="rId1"/>
  <ignoredErrors>
    <ignoredError sqref="C24:H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E642-4380-45F9-878F-BE7FCE40AFFA}">
  <dimension ref="B2:H39"/>
  <sheetViews>
    <sheetView showGridLines="0" workbookViewId="0"/>
  </sheetViews>
  <sheetFormatPr defaultRowHeight="15" x14ac:dyDescent="0.25"/>
  <cols>
    <col min="1" max="1" width="4.7109375" customWidth="1"/>
    <col min="3" max="8" width="12.7109375" customWidth="1"/>
  </cols>
  <sheetData>
    <row r="2" spans="2:8" x14ac:dyDescent="0.25">
      <c r="B2" s="136" t="s">
        <v>74</v>
      </c>
      <c r="C2" s="136"/>
      <c r="D2" s="136"/>
      <c r="E2" s="136"/>
      <c r="F2" s="136"/>
      <c r="G2" s="136"/>
      <c r="H2" s="136"/>
    </row>
    <row r="3" spans="2:8" ht="15.75" thickBot="1" x14ac:dyDescent="0.3">
      <c r="B3" s="137" t="s">
        <v>140</v>
      </c>
      <c r="C3" s="137"/>
      <c r="D3" s="137"/>
      <c r="E3" s="137"/>
      <c r="F3" s="137"/>
      <c r="G3" s="137"/>
      <c r="H3" s="137"/>
    </row>
    <row r="4" spans="2:8" x14ac:dyDescent="0.25">
      <c r="B4" s="138" t="s">
        <v>129</v>
      </c>
      <c r="C4" s="138"/>
      <c r="D4" s="138"/>
      <c r="E4" s="138"/>
      <c r="F4" s="138"/>
      <c r="G4" s="138"/>
      <c r="H4" s="29">
        <v>20</v>
      </c>
    </row>
    <row r="5" spans="2:8" s="20" customFormat="1" x14ac:dyDescent="0.25">
      <c r="B5" s="139" t="s">
        <v>89</v>
      </c>
      <c r="C5" s="139"/>
      <c r="D5" s="139"/>
      <c r="E5" s="139"/>
      <c r="F5" s="139"/>
      <c r="G5" s="139"/>
      <c r="H5" s="30">
        <v>5.0000000000000001E-3</v>
      </c>
    </row>
    <row r="6" spans="2:8" s="20" customFormat="1" x14ac:dyDescent="0.25">
      <c r="B6" s="139" t="s">
        <v>87</v>
      </c>
      <c r="C6" s="139"/>
      <c r="D6" s="139"/>
      <c r="E6" s="139"/>
      <c r="F6" s="139"/>
      <c r="G6" s="139"/>
      <c r="H6" s="30">
        <v>0.04</v>
      </c>
    </row>
    <row r="7" spans="2:8" x14ac:dyDescent="0.25">
      <c r="B7" s="139" t="s">
        <v>88</v>
      </c>
      <c r="C7" s="139"/>
      <c r="D7" s="139"/>
      <c r="E7" s="139"/>
      <c r="F7" s="139"/>
      <c r="G7" s="139"/>
      <c r="H7" s="31">
        <f>H5+H6</f>
        <v>4.4999999999999998E-2</v>
      </c>
    </row>
    <row r="8" spans="2:8" ht="15.75" thickBot="1" x14ac:dyDescent="0.3">
      <c r="B8" s="140" t="s">
        <v>75</v>
      </c>
      <c r="C8" s="140"/>
      <c r="D8" s="140"/>
      <c r="E8" s="140"/>
      <c r="F8" s="140"/>
      <c r="G8" s="140"/>
      <c r="H8" s="64">
        <f>Initial_Capital_Outlay</f>
        <v>65800</v>
      </c>
    </row>
    <row r="9" spans="2:8" x14ac:dyDescent="0.25">
      <c r="B9" s="149"/>
      <c r="C9" s="149"/>
      <c r="D9" s="149"/>
      <c r="E9" s="149"/>
      <c r="F9" s="149"/>
      <c r="G9" s="149"/>
      <c r="H9" s="149"/>
    </row>
    <row r="10" spans="2:8" x14ac:dyDescent="0.25">
      <c r="B10" s="23"/>
      <c r="C10" s="143" t="s">
        <v>76</v>
      </c>
      <c r="D10" s="143"/>
      <c r="E10" s="143"/>
      <c r="F10" s="143"/>
      <c r="G10" s="144" t="s">
        <v>77</v>
      </c>
      <c r="H10" s="145"/>
    </row>
    <row r="11" spans="2:8" ht="45" customHeight="1" x14ac:dyDescent="0.25">
      <c r="B11" s="24" t="s">
        <v>78</v>
      </c>
      <c r="C11" s="25" t="s">
        <v>79</v>
      </c>
      <c r="D11" s="25" t="s">
        <v>80</v>
      </c>
      <c r="E11" s="26" t="s">
        <v>81</v>
      </c>
      <c r="F11" s="26" t="s">
        <v>82</v>
      </c>
      <c r="G11" s="27" t="s">
        <v>81</v>
      </c>
      <c r="H11" s="28" t="s">
        <v>82</v>
      </c>
    </row>
    <row r="12" spans="2:8" x14ac:dyDescent="0.25">
      <c r="B12" s="32">
        <v>0</v>
      </c>
      <c r="C12" s="33">
        <f>$H$8</f>
        <v>65800</v>
      </c>
      <c r="D12" s="34"/>
      <c r="E12" s="35">
        <f>D12-C12</f>
        <v>-65800</v>
      </c>
      <c r="F12" s="35">
        <f>E12</f>
        <v>-65800</v>
      </c>
      <c r="G12" s="36"/>
      <c r="H12" s="37"/>
    </row>
    <row r="13" spans="2:8" x14ac:dyDescent="0.25">
      <c r="B13" s="38">
        <v>1</v>
      </c>
      <c r="C13" s="120">
        <f>(3*OperatingCost_Year1)+FixedAsset_TaxIns</f>
        <v>36166.620000000003</v>
      </c>
      <c r="D13" s="120">
        <f>3*PreharvestRevenue_Year1</f>
        <v>0</v>
      </c>
      <c r="E13" s="21">
        <f>IF(ISNUMBER(B13),D13-C13,"n/a")</f>
        <v>-36166.620000000003</v>
      </c>
      <c r="F13" s="21">
        <f>IF(ISNUMBER(B13),E13/((1+$H$7)^B13),"n/a")</f>
        <v>-34609.2057416268</v>
      </c>
      <c r="G13" s="39">
        <f>E13</f>
        <v>-36166.620000000003</v>
      </c>
      <c r="H13" s="40">
        <f>F13</f>
        <v>-34609.2057416268</v>
      </c>
    </row>
    <row r="14" spans="2:8" x14ac:dyDescent="0.25">
      <c r="B14" s="38">
        <v>2</v>
      </c>
      <c r="C14" s="120">
        <f>(3*OperatingCost_Year2)+FixedAsset_TaxIns</f>
        <v>17832.419999999998</v>
      </c>
      <c r="D14" s="120">
        <f>3*PreharvestRevenue_Year2</f>
        <v>1624.5</v>
      </c>
      <c r="E14" s="21">
        <f t="shared" ref="E14:E32" si="0">IF(ISNUMBER(B14),D14-C14,"n/a")</f>
        <v>-16207.919999999998</v>
      </c>
      <c r="F14" s="21">
        <f t="shared" ref="F14:F32" si="1">IF(ISNUMBER(B14),E14/((1+$H$7)^B14),"n/a")</f>
        <v>-14842.077791259358</v>
      </c>
      <c r="G14" s="39">
        <f>IF(ISNUMBER(B14),G13+E14,"n/a")</f>
        <v>-52374.54</v>
      </c>
      <c r="H14" s="40">
        <f>IF(ISNUMBER(B14),H13+F14,"n/a")</f>
        <v>-49451.283532886155</v>
      </c>
    </row>
    <row r="15" spans="2:8" x14ac:dyDescent="0.25">
      <c r="B15" s="38">
        <v>3</v>
      </c>
      <c r="C15" s="120">
        <f>(3*OperatingCost_Year3)+FixedAsset_TaxIns</f>
        <v>18668.82</v>
      </c>
      <c r="D15" s="120">
        <f>3*PreharvestRevenue_Year3</f>
        <v>6966</v>
      </c>
      <c r="E15" s="21">
        <f t="shared" si="0"/>
        <v>-11702.82</v>
      </c>
      <c r="F15" s="21">
        <f t="shared" si="1"/>
        <v>-10255.141423865874</v>
      </c>
      <c r="G15" s="39">
        <f t="shared" ref="G15:G32" si="2">IF(ISNUMBER(B15),G14+E15,"n/a")</f>
        <v>-64077.36</v>
      </c>
      <c r="H15" s="40">
        <f t="shared" ref="H15:H32" si="3">IF(ISNUMBER(B15),H14+F15,"n/a")</f>
        <v>-59706.424956752031</v>
      </c>
    </row>
    <row r="16" spans="2:8" x14ac:dyDescent="0.25">
      <c r="B16" s="38">
        <f>IF(B15&lt;$H$4,B15+1,"n/a")</f>
        <v>4</v>
      </c>
      <c r="C16" s="120">
        <f>(3*OperatingCost_Year3)+FixedAsset_TaxIns</f>
        <v>18668.82</v>
      </c>
      <c r="D16" s="120">
        <f>3*PreharvestRevenue_Year4</f>
        <v>17139</v>
      </c>
      <c r="E16" s="21">
        <f t="shared" si="0"/>
        <v>-1529.8199999999997</v>
      </c>
      <c r="F16" s="21">
        <f t="shared" si="1"/>
        <v>-1282.8479146557718</v>
      </c>
      <c r="G16" s="39">
        <f t="shared" si="2"/>
        <v>-65607.179999999993</v>
      </c>
      <c r="H16" s="40">
        <f t="shared" si="3"/>
        <v>-60989.272871407804</v>
      </c>
    </row>
    <row r="17" spans="2:8" x14ac:dyDescent="0.25">
      <c r="B17" s="38">
        <f t="shared" ref="B17:B31" si="4">IF(B16&lt;$H$4,B16+1,"n/a")</f>
        <v>5</v>
      </c>
      <c r="C17" s="120">
        <f>(3*OperatingCost_Year3)+FixedAsset_TaxIns</f>
        <v>18668.82</v>
      </c>
      <c r="D17" s="120">
        <f>3*PreharvestRevenue_Year5</f>
        <v>27312</v>
      </c>
      <c r="E17" s="21">
        <f t="shared" si="0"/>
        <v>8643.18</v>
      </c>
      <c r="F17" s="21">
        <f t="shared" si="1"/>
        <v>6935.7288360937828</v>
      </c>
      <c r="G17" s="39">
        <f t="shared" si="2"/>
        <v>-56963.999999999993</v>
      </c>
      <c r="H17" s="40">
        <f t="shared" si="3"/>
        <v>-54053.544035314022</v>
      </c>
    </row>
    <row r="18" spans="2:8" x14ac:dyDescent="0.25">
      <c r="B18" s="38">
        <f t="shared" si="4"/>
        <v>6</v>
      </c>
      <c r="C18" s="120">
        <f>(3*OperatingCost_Year3)+FixedAsset_TaxIns+SUMIF(FixedAssets!D5:D19,5,FixedAssets!C5:C19)</f>
        <v>19468.82</v>
      </c>
      <c r="D18" s="120">
        <f t="shared" ref="D18:D32" si="5">3*PreharvestRevenue_Year6</f>
        <v>31029</v>
      </c>
      <c r="E18" s="21">
        <f t="shared" si="0"/>
        <v>11560.18</v>
      </c>
      <c r="F18" s="21">
        <f t="shared" si="1"/>
        <v>8877.0129557284981</v>
      </c>
      <c r="G18" s="39">
        <f t="shared" si="2"/>
        <v>-45403.819999999992</v>
      </c>
      <c r="H18" s="40">
        <f t="shared" si="3"/>
        <v>-45176.531079585526</v>
      </c>
    </row>
    <row r="19" spans="2:8" x14ac:dyDescent="0.25">
      <c r="B19" s="38">
        <f t="shared" si="4"/>
        <v>7</v>
      </c>
      <c r="C19" s="120">
        <f>(3*OperatingCost_Year3)+FixedAsset_TaxIns</f>
        <v>18668.82</v>
      </c>
      <c r="D19" s="120">
        <f t="shared" si="5"/>
        <v>31029</v>
      </c>
      <c r="E19" s="21">
        <f t="shared" si="0"/>
        <v>12360.18</v>
      </c>
      <c r="F19" s="21">
        <f t="shared" si="1"/>
        <v>9082.6120060775411</v>
      </c>
      <c r="G19" s="39">
        <f t="shared" si="2"/>
        <v>-33043.639999999992</v>
      </c>
      <c r="H19" s="40">
        <f t="shared" si="3"/>
        <v>-36093.919073507983</v>
      </c>
    </row>
    <row r="20" spans="2:8" x14ac:dyDescent="0.25">
      <c r="B20" s="38">
        <f t="shared" si="4"/>
        <v>8</v>
      </c>
      <c r="C20" s="120">
        <f>(3*OperatingCost_Year3)+FixedAsset_TaxIns</f>
        <v>18668.82</v>
      </c>
      <c r="D20" s="120">
        <f t="shared" si="5"/>
        <v>31029</v>
      </c>
      <c r="E20" s="21">
        <f t="shared" si="0"/>
        <v>12360.18</v>
      </c>
      <c r="F20" s="21">
        <f t="shared" si="1"/>
        <v>8691.4947426579383</v>
      </c>
      <c r="G20" s="39">
        <f t="shared" si="2"/>
        <v>-20683.459999999992</v>
      </c>
      <c r="H20" s="40">
        <f t="shared" si="3"/>
        <v>-27402.424330850044</v>
      </c>
    </row>
    <row r="21" spans="2:8" x14ac:dyDescent="0.25">
      <c r="B21" s="38">
        <f t="shared" si="4"/>
        <v>9</v>
      </c>
      <c r="C21" s="120">
        <f>(3*OperatingCost_Year3)+FixedAsset_TaxIns</f>
        <v>18668.82</v>
      </c>
      <c r="D21" s="120">
        <f t="shared" si="5"/>
        <v>31029</v>
      </c>
      <c r="E21" s="21">
        <f t="shared" si="0"/>
        <v>12360.18</v>
      </c>
      <c r="F21" s="21">
        <f t="shared" si="1"/>
        <v>8317.2198494334334</v>
      </c>
      <c r="G21" s="39">
        <f t="shared" si="2"/>
        <v>-8323.2799999999916</v>
      </c>
      <c r="H21" s="40">
        <f t="shared" si="3"/>
        <v>-19085.204481416611</v>
      </c>
    </row>
    <row r="22" spans="2:8" x14ac:dyDescent="0.25">
      <c r="B22" s="38">
        <f t="shared" si="4"/>
        <v>10</v>
      </c>
      <c r="C22" s="120">
        <f>(3*OperatingCost_Year3)+FixedAsset_TaxIns</f>
        <v>18668.82</v>
      </c>
      <c r="D22" s="120">
        <f t="shared" si="5"/>
        <v>31029</v>
      </c>
      <c r="E22" s="21">
        <f t="shared" si="0"/>
        <v>12360.18</v>
      </c>
      <c r="F22" s="21">
        <f t="shared" si="1"/>
        <v>7959.0620568741006</v>
      </c>
      <c r="G22" s="39">
        <f t="shared" si="2"/>
        <v>4036.9000000000087</v>
      </c>
      <c r="H22" s="40">
        <f t="shared" si="3"/>
        <v>-11126.142424542511</v>
      </c>
    </row>
    <row r="23" spans="2:8" x14ac:dyDescent="0.25">
      <c r="B23" s="38">
        <f t="shared" si="4"/>
        <v>11</v>
      </c>
      <c r="C23" s="120">
        <f>(3*OperatingCost_Year3)+FixedAsset_TaxIns+SUMIF(FixedAssets!D5:D19,5,FixedAssets!C5:C19)+SUMIF(FixedAssets!D5:D19,10,FixedAssets!C5:C19)</f>
        <v>30468.82</v>
      </c>
      <c r="D23" s="120">
        <f t="shared" si="5"/>
        <v>31029</v>
      </c>
      <c r="E23" s="21">
        <f t="shared" si="0"/>
        <v>560.18000000000029</v>
      </c>
      <c r="F23" s="21">
        <f t="shared" si="1"/>
        <v>345.18220949243045</v>
      </c>
      <c r="G23" s="39">
        <f t="shared" si="2"/>
        <v>4597.080000000009</v>
      </c>
      <c r="H23" s="40">
        <f t="shared" si="3"/>
        <v>-10780.960215050081</v>
      </c>
    </row>
    <row r="24" spans="2:8" x14ac:dyDescent="0.25">
      <c r="B24" s="38">
        <f t="shared" si="4"/>
        <v>12</v>
      </c>
      <c r="C24" s="120">
        <f>(3*OperatingCost_Year3)+FixedAsset_TaxIns</f>
        <v>18668.82</v>
      </c>
      <c r="D24" s="120">
        <f t="shared" si="5"/>
        <v>31029</v>
      </c>
      <c r="E24" s="21">
        <f t="shared" si="0"/>
        <v>12360.18</v>
      </c>
      <c r="F24" s="21">
        <f t="shared" si="1"/>
        <v>7288.3515092366042</v>
      </c>
      <c r="G24" s="39">
        <f t="shared" si="2"/>
        <v>16957.260000000009</v>
      </c>
      <c r="H24" s="40">
        <f t="shared" si="3"/>
        <v>-3492.6087058134772</v>
      </c>
    </row>
    <row r="25" spans="2:8" x14ac:dyDescent="0.25">
      <c r="B25" s="38">
        <f>IF(B24&lt;$H$4,B24+1,"n/a")</f>
        <v>13</v>
      </c>
      <c r="C25" s="120">
        <f>(3*OperatingCost_Year3)+FixedAsset_TaxIns</f>
        <v>18668.82</v>
      </c>
      <c r="D25" s="120">
        <f t="shared" si="5"/>
        <v>31029</v>
      </c>
      <c r="E25" s="21">
        <f t="shared" si="0"/>
        <v>12360.18</v>
      </c>
      <c r="F25" s="21">
        <f t="shared" si="1"/>
        <v>6974.4990519010562</v>
      </c>
      <c r="G25" s="39">
        <f t="shared" si="2"/>
        <v>29317.44000000001</v>
      </c>
      <c r="H25" s="40">
        <f t="shared" si="3"/>
        <v>3481.890346087579</v>
      </c>
    </row>
    <row r="26" spans="2:8" x14ac:dyDescent="0.25">
      <c r="B26" s="38">
        <f t="shared" si="4"/>
        <v>14</v>
      </c>
      <c r="C26" s="120">
        <f>(3*OperatingCost_Year3)+FixedAsset_TaxIns</f>
        <v>18668.82</v>
      </c>
      <c r="D26" s="120">
        <f t="shared" si="5"/>
        <v>31029</v>
      </c>
      <c r="E26" s="21">
        <f t="shared" si="0"/>
        <v>12360.18</v>
      </c>
      <c r="F26" s="21">
        <f t="shared" si="1"/>
        <v>6674.1617721541224</v>
      </c>
      <c r="G26" s="39">
        <f t="shared" si="2"/>
        <v>41677.62000000001</v>
      </c>
      <c r="H26" s="40">
        <f t="shared" si="3"/>
        <v>10156.052118241701</v>
      </c>
    </row>
    <row r="27" spans="2:8" x14ac:dyDescent="0.25">
      <c r="B27" s="38">
        <f t="shared" si="4"/>
        <v>15</v>
      </c>
      <c r="C27" s="120">
        <f>(3*OperatingCost_Year3)+FixedAsset_TaxIns</f>
        <v>18668.82</v>
      </c>
      <c r="D27" s="120">
        <f t="shared" si="5"/>
        <v>31029</v>
      </c>
      <c r="E27" s="21">
        <f t="shared" si="0"/>
        <v>12360.18</v>
      </c>
      <c r="F27" s="21">
        <f t="shared" si="1"/>
        <v>6386.7576767025084</v>
      </c>
      <c r="G27" s="39">
        <f t="shared" si="2"/>
        <v>54037.80000000001</v>
      </c>
      <c r="H27" s="40">
        <f t="shared" si="3"/>
        <v>16542.809794944209</v>
      </c>
    </row>
    <row r="28" spans="2:8" x14ac:dyDescent="0.25">
      <c r="B28" s="38">
        <f t="shared" si="4"/>
        <v>16</v>
      </c>
      <c r="C28" s="120">
        <f>(3*OperatingCost_Year3)+FixedAsset_TaxIns+SUMIF(FixedAssets!D5:D19,5,FixedAssets!C5:C19)+SUMIF(FixedAssets!D5:D19,15,FixedAssets!C5:C19)</f>
        <v>19468.82</v>
      </c>
      <c r="D28" s="120">
        <f t="shared" si="5"/>
        <v>31029</v>
      </c>
      <c r="E28" s="21">
        <f t="shared" si="0"/>
        <v>11560.18</v>
      </c>
      <c r="F28" s="21">
        <f t="shared" si="1"/>
        <v>5716.1543759329152</v>
      </c>
      <c r="G28" s="39">
        <f t="shared" si="2"/>
        <v>65597.98000000001</v>
      </c>
      <c r="H28" s="40">
        <f t="shared" si="3"/>
        <v>22258.964170877123</v>
      </c>
    </row>
    <row r="29" spans="2:8" x14ac:dyDescent="0.25">
      <c r="B29" s="38">
        <f t="shared" si="4"/>
        <v>17</v>
      </c>
      <c r="C29" s="120">
        <f>(3*OperatingCost_Year3)+FixedAsset_TaxIns</f>
        <v>18668.82</v>
      </c>
      <c r="D29" s="120">
        <f t="shared" si="5"/>
        <v>31029</v>
      </c>
      <c r="E29" s="21">
        <f t="shared" si="0"/>
        <v>12360.18</v>
      </c>
      <c r="F29" s="21">
        <f t="shared" si="1"/>
        <v>5848.5452958517535</v>
      </c>
      <c r="G29" s="39">
        <f t="shared" si="2"/>
        <v>77958.16</v>
      </c>
      <c r="H29" s="40">
        <f t="shared" si="3"/>
        <v>28107.509466728876</v>
      </c>
    </row>
    <row r="30" spans="2:8" x14ac:dyDescent="0.25">
      <c r="B30" s="38">
        <f t="shared" si="4"/>
        <v>18</v>
      </c>
      <c r="C30" s="120">
        <f>(3*OperatingCost_Year3)+FixedAsset_TaxIns</f>
        <v>18668.82</v>
      </c>
      <c r="D30" s="120">
        <f t="shared" si="5"/>
        <v>31029</v>
      </c>
      <c r="E30" s="21">
        <f t="shared" si="0"/>
        <v>12360.18</v>
      </c>
      <c r="F30" s="21">
        <f t="shared" si="1"/>
        <v>5596.6940630160334</v>
      </c>
      <c r="G30" s="39">
        <f t="shared" si="2"/>
        <v>90318.34</v>
      </c>
      <c r="H30" s="40">
        <f t="shared" si="3"/>
        <v>33704.203529744911</v>
      </c>
    </row>
    <row r="31" spans="2:8" x14ac:dyDescent="0.25">
      <c r="B31" s="38">
        <f t="shared" si="4"/>
        <v>19</v>
      </c>
      <c r="C31" s="120">
        <f>(3*OperatingCost_Year3)+FixedAsset_TaxIns</f>
        <v>18668.82</v>
      </c>
      <c r="D31" s="120">
        <f t="shared" si="5"/>
        <v>31029</v>
      </c>
      <c r="E31" s="21">
        <f t="shared" si="0"/>
        <v>12360.18</v>
      </c>
      <c r="F31" s="21">
        <f t="shared" si="1"/>
        <v>5355.6880985799362</v>
      </c>
      <c r="G31" s="39">
        <f t="shared" si="2"/>
        <v>102678.51999999999</v>
      </c>
      <c r="H31" s="40">
        <f t="shared" si="3"/>
        <v>39059.891628324847</v>
      </c>
    </row>
    <row r="32" spans="2:8" x14ac:dyDescent="0.25">
      <c r="B32" s="38">
        <f>IF(B31&lt;$H$4,B31+1,"n/a")</f>
        <v>20</v>
      </c>
      <c r="C32" s="120">
        <f>(3*OperatingCost_Year3)+FixedAsset_TaxIns</f>
        <v>18668.82</v>
      </c>
      <c r="D32" s="120">
        <f t="shared" si="5"/>
        <v>31029</v>
      </c>
      <c r="E32" s="21">
        <f t="shared" si="0"/>
        <v>12360.18</v>
      </c>
      <c r="F32" s="21">
        <f t="shared" si="1"/>
        <v>5125.0603814162087</v>
      </c>
      <c r="G32" s="39">
        <f t="shared" si="2"/>
        <v>115038.69999999998</v>
      </c>
      <c r="H32" s="40">
        <f t="shared" si="3"/>
        <v>44184.952009741057</v>
      </c>
    </row>
    <row r="33" spans="2:8" ht="15.75" thickBot="1" x14ac:dyDescent="0.3">
      <c r="B33" s="146"/>
      <c r="C33" s="146"/>
      <c r="D33" s="146"/>
      <c r="E33" s="146"/>
      <c r="F33" s="146"/>
      <c r="G33" s="146"/>
      <c r="H33" s="146"/>
    </row>
    <row r="34" spans="2:8" x14ac:dyDescent="0.25">
      <c r="B34" s="147" t="s">
        <v>83</v>
      </c>
      <c r="C34" s="147"/>
      <c r="D34" s="147"/>
      <c r="E34" s="147"/>
      <c r="F34" s="147"/>
      <c r="G34" s="147"/>
      <c r="H34" s="41">
        <f>INDEX(B13:B32,MATCH($H$8,G13:G32,1))+1</f>
        <v>17</v>
      </c>
    </row>
    <row r="35" spans="2:8" x14ac:dyDescent="0.25">
      <c r="B35" s="148" t="s">
        <v>84</v>
      </c>
      <c r="C35" s="148"/>
      <c r="D35" s="148"/>
      <c r="E35" s="148"/>
      <c r="F35" s="148"/>
      <c r="G35" s="148"/>
      <c r="H35" s="42">
        <f>IRR(E12:E32)</f>
        <v>2.7697575719761947E-2</v>
      </c>
    </row>
    <row r="36" spans="2:8" ht="15.75" thickBot="1" x14ac:dyDescent="0.3">
      <c r="B36" s="141" t="s">
        <v>85</v>
      </c>
      <c r="C36" s="141"/>
      <c r="D36" s="141"/>
      <c r="E36" s="141"/>
      <c r="F36" s="141"/>
      <c r="G36" s="141"/>
      <c r="H36" s="43">
        <f>SUMIF(B13:B32,$H$4,H13:H32)-$H$8</f>
        <v>-21615.047990258943</v>
      </c>
    </row>
    <row r="37" spans="2:8" x14ac:dyDescent="0.25">
      <c r="B37" s="142"/>
      <c r="C37" s="142"/>
      <c r="D37" s="142"/>
      <c r="E37" s="142"/>
      <c r="F37" s="142"/>
      <c r="G37" s="142"/>
      <c r="H37" s="142"/>
    </row>
    <row r="38" spans="2:8" x14ac:dyDescent="0.25">
      <c r="B38" s="126" t="s">
        <v>86</v>
      </c>
      <c r="C38" s="126"/>
      <c r="D38" s="126"/>
      <c r="E38" s="126"/>
      <c r="F38" s="126"/>
      <c r="G38" s="126"/>
      <c r="H38" s="126"/>
    </row>
    <row r="39" spans="2:8" x14ac:dyDescent="0.25">
      <c r="B39" s="126"/>
      <c r="C39" s="126"/>
      <c r="D39" s="126"/>
      <c r="E39" s="126"/>
      <c r="F39" s="126"/>
      <c r="G39" s="126"/>
      <c r="H39" s="126"/>
    </row>
  </sheetData>
  <sheetProtection algorithmName="SHA-512" hashValue="LelJ9uNDtLhynqrc3ljKBiLc3g00IDBTbQ9eK/N0WLpVMrWTitKChHNjzsM4caZESV89fcnXC1fPkH3nvPpFGA==" saltValue="kwn+9tW2yXjkY2l87sf4hQ==" spinCount="100000" sheet="1" objects="1" scenarios="1"/>
  <mergeCells count="17">
    <mergeCell ref="B36:G36"/>
    <mergeCell ref="B37:H37"/>
    <mergeCell ref="B38:H38"/>
    <mergeCell ref="B39:H39"/>
    <mergeCell ref="B5:G5"/>
    <mergeCell ref="B6:G6"/>
    <mergeCell ref="C10:F10"/>
    <mergeCell ref="G10:H10"/>
    <mergeCell ref="B33:H33"/>
    <mergeCell ref="B34:G34"/>
    <mergeCell ref="B35:G35"/>
    <mergeCell ref="B9:H9"/>
    <mergeCell ref="B2:H2"/>
    <mergeCell ref="B3:H3"/>
    <mergeCell ref="B4:G4"/>
    <mergeCell ref="B7:G7"/>
    <mergeCell ref="B8:G8"/>
  </mergeCells>
  <pageMargins left="0.7" right="0.7" top="0.75" bottom="0.75" header="0.3" footer="0.3"/>
  <ignoredErrors>
    <ignoredError sqref="C14:D17 C24:D27 D23 D13 C19:D22 D18 C29:D32 D28" unlockedFormula="1"/>
    <ignoredError sqref="C18 C23 C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E644-C22F-46A3-A6A4-54FE896FCADA}">
  <dimension ref="B2:H12"/>
  <sheetViews>
    <sheetView showGridLines="0" workbookViewId="0"/>
  </sheetViews>
  <sheetFormatPr defaultRowHeight="15" x14ac:dyDescent="0.25"/>
  <cols>
    <col min="1" max="1" width="4.7109375" customWidth="1"/>
    <col min="2" max="2" width="40.140625" customWidth="1"/>
    <col min="3" max="7" width="10.5703125" bestFit="1" customWidth="1"/>
  </cols>
  <sheetData>
    <row r="2" spans="2:8" x14ac:dyDescent="0.25">
      <c r="B2" s="129" t="s">
        <v>107</v>
      </c>
      <c r="C2" s="129"/>
      <c r="D2" s="129"/>
      <c r="E2" s="129"/>
      <c r="F2" s="129"/>
      <c r="G2" s="129"/>
    </row>
    <row r="4" spans="2:8" x14ac:dyDescent="0.25">
      <c r="B4" s="6"/>
      <c r="C4" s="68" t="s">
        <v>4</v>
      </c>
      <c r="D4" s="65" t="s">
        <v>5</v>
      </c>
      <c r="E4" s="65" t="s">
        <v>6</v>
      </c>
      <c r="F4" s="65" t="s">
        <v>7</v>
      </c>
      <c r="G4" s="65" t="s">
        <v>8</v>
      </c>
      <c r="H4" s="66"/>
    </row>
    <row r="5" spans="2:8" x14ac:dyDescent="0.25">
      <c r="B5" t="s">
        <v>127</v>
      </c>
      <c r="C5" s="69">
        <f>OperatingCost_Year1</f>
        <v>11891.04</v>
      </c>
      <c r="D5" s="13">
        <f>OperatingCost_Year2</f>
        <v>5779.6399999999994</v>
      </c>
      <c r="E5" s="13">
        <f>OperatingCost_Year3</f>
        <v>6058.4400000000005</v>
      </c>
      <c r="F5" s="13">
        <f>OperatingCost_Year3</f>
        <v>6058.4400000000005</v>
      </c>
      <c r="G5" s="13">
        <f>OperatingCost_Year3</f>
        <v>6058.4400000000005</v>
      </c>
      <c r="H5" s="67"/>
    </row>
    <row r="6" spans="2:8" x14ac:dyDescent="0.25">
      <c r="B6" t="s">
        <v>128</v>
      </c>
      <c r="C6" s="69">
        <f>PreharvestRevenue_Year1</f>
        <v>0</v>
      </c>
      <c r="D6" s="13">
        <f>PreharvestRevenue_Year2</f>
        <v>541.5</v>
      </c>
      <c r="E6" s="13">
        <f>PreharvestRevenue_Year3</f>
        <v>2322</v>
      </c>
      <c r="F6" s="13">
        <f>PreharvestRevenue_Year4</f>
        <v>5713</v>
      </c>
      <c r="G6" s="13">
        <f>PreharvestRevenue_Year5</f>
        <v>9104</v>
      </c>
      <c r="H6" s="67"/>
    </row>
    <row r="7" spans="2:8" x14ac:dyDescent="0.25">
      <c r="B7" t="s">
        <v>103</v>
      </c>
      <c r="C7" s="69">
        <f>C5-C6</f>
        <v>11891.04</v>
      </c>
      <c r="D7" s="13">
        <f t="shared" ref="D7:G7" si="0">D5-D6</f>
        <v>5238.1399999999994</v>
      </c>
      <c r="E7" s="13">
        <f t="shared" si="0"/>
        <v>3736.4400000000005</v>
      </c>
      <c r="F7" s="13">
        <f t="shared" si="0"/>
        <v>345.44000000000051</v>
      </c>
      <c r="G7" s="13">
        <f t="shared" si="0"/>
        <v>-3045.5599999999995</v>
      </c>
      <c r="H7" s="67"/>
    </row>
    <row r="8" spans="2:8" x14ac:dyDescent="0.25">
      <c r="B8" t="s">
        <v>90</v>
      </c>
      <c r="C8" s="69">
        <f>FV(0.5%,5,0,-C7,0)</f>
        <v>12191.303660996651</v>
      </c>
      <c r="D8" s="13">
        <f>FV(0.5%,4,0,-D7,0)</f>
        <v>5343.6911433438336</v>
      </c>
      <c r="E8" s="13">
        <f>FV(0.5%,3,0,-E7,0)</f>
        <v>3792.7673000549989</v>
      </c>
      <c r="F8" s="13">
        <f>FV(0.5%,2,0,-F7,0)</f>
        <v>348.90303600000044</v>
      </c>
      <c r="G8" s="13">
        <f>FV(0.5%,1,0,-G7,0)</f>
        <v>-3060.7877999999992</v>
      </c>
      <c r="H8" s="67"/>
    </row>
    <row r="9" spans="2:8" x14ac:dyDescent="0.25">
      <c r="B9" s="6" t="s">
        <v>91</v>
      </c>
      <c r="C9" s="70">
        <f>Annual_Fixed_Cost_per_Acre</f>
        <v>2032.8333333333333</v>
      </c>
      <c r="D9" s="18">
        <f>Annual_Fixed_Cost_per_Acre</f>
        <v>2032.8333333333333</v>
      </c>
      <c r="E9" s="18">
        <f>Annual_Fixed_Cost_per_Acre</f>
        <v>2032.8333333333333</v>
      </c>
      <c r="F9" s="18">
        <f>Annual_Fixed_Cost_per_Acre</f>
        <v>2032.8333333333333</v>
      </c>
      <c r="G9" s="18">
        <f>Annual_Fixed_Cost_per_Acre</f>
        <v>2032.8333333333333</v>
      </c>
      <c r="H9" s="67"/>
    </row>
    <row r="10" spans="2:8" x14ac:dyDescent="0.25">
      <c r="B10" s="2" t="s">
        <v>92</v>
      </c>
      <c r="C10" s="71">
        <f>C8+C9</f>
        <v>14224.136994329985</v>
      </c>
      <c r="D10" s="17">
        <f>C10+D8+D9</f>
        <v>21600.661471007152</v>
      </c>
      <c r="E10" s="17">
        <f t="shared" ref="E10:G10" si="1">D10+E8+E9</f>
        <v>27426.262104395482</v>
      </c>
      <c r="F10" s="17">
        <f t="shared" si="1"/>
        <v>29807.998473728814</v>
      </c>
      <c r="G10" s="17">
        <f t="shared" si="1"/>
        <v>28780.044007062148</v>
      </c>
      <c r="H10" s="67"/>
    </row>
    <row r="12" spans="2:8" x14ac:dyDescent="0.25">
      <c r="B12" s="129" t="s">
        <v>104</v>
      </c>
      <c r="C12" s="129"/>
      <c r="D12" s="129"/>
      <c r="E12" s="129"/>
      <c r="F12" s="129"/>
      <c r="G12" s="72">
        <f>PMT(0.5%,15,-$G$10,0,0)</f>
        <v>1996.3094489472585</v>
      </c>
    </row>
  </sheetData>
  <sheetProtection algorithmName="SHA-512" hashValue="yetUMf0gQGn5RzxqegaEcPOoy6r9Z8JWEcVUEEPd7HNLfl4PrjQ0w5W2rI/pGu3UfSCqHmKtfI2jwd0UcWK8rA==" saltValue="89Qwb62o88E60HMvPH5Uzg==" spinCount="100000" sheet="1" objects="1" scenarios="1"/>
  <mergeCells count="2">
    <mergeCell ref="B12:F12"/>
    <mergeCell ref="B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TitleSheet</vt:lpstr>
      <vt:lpstr>BudgetSummary</vt:lpstr>
      <vt:lpstr>FixedAssets</vt:lpstr>
      <vt:lpstr>AnnualOperatingCosts</vt:lpstr>
      <vt:lpstr>Harvest-Postharvest</vt:lpstr>
      <vt:lpstr>InvestmentAnalysis</vt:lpstr>
      <vt:lpstr>First5YrsCostAccumulation</vt:lpstr>
      <vt:lpstr>AmortizedYear1Thru5Costs</vt:lpstr>
      <vt:lpstr>Annual_Depreciation</vt:lpstr>
      <vt:lpstr>Annual_Fixed_Cost_per_Acre</vt:lpstr>
      <vt:lpstr>Annual_Interest_FixedAssets</vt:lpstr>
      <vt:lpstr>Annual_TaxesIns_FixedAssets</vt:lpstr>
      <vt:lpstr>ContainerCost_Year6</vt:lpstr>
      <vt:lpstr>DiscountRate_Real_RiskAdjusted</vt:lpstr>
      <vt:lpstr>DiscountRate_Real_RiskFree</vt:lpstr>
      <vt:lpstr>EquipmentOpCosts_Year3</vt:lpstr>
      <vt:lpstr>FixedAsset_TaxIns</vt:lpstr>
      <vt:lpstr>GrossRevenue_Year6</vt:lpstr>
      <vt:lpstr>HarvestLaborCost_Year6</vt:lpstr>
      <vt:lpstr>Initial_Capital_Outlay</vt:lpstr>
      <vt:lpstr>MaterialCosts_Year3</vt:lpstr>
      <vt:lpstr>OperatingCost_Year1</vt:lpstr>
      <vt:lpstr>OperatingCost_Year2</vt:lpstr>
      <vt:lpstr>OperatingCost_Year3</vt:lpstr>
      <vt:lpstr>OrchardLaborCosts_Year3</vt:lpstr>
      <vt:lpstr>PostharvestLaborCost_Year6</vt:lpstr>
      <vt:lpstr>PreharvestRevenue_Year1</vt:lpstr>
      <vt:lpstr>PreharvestRevenue_Year2</vt:lpstr>
      <vt:lpstr>PreharvestRevenue_Year3</vt:lpstr>
      <vt:lpstr>PreharvestRevenue_Year4</vt:lpstr>
      <vt:lpstr>PreharvestRevenue_Year5</vt:lpstr>
      <vt:lpstr>PreharvestRevenue_Year6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2020-03-16T16:25:48Z</dcterms:created>
  <dcterms:modified xsi:type="dcterms:W3CDTF">2020-06-29T21:09:08Z</dcterms:modified>
</cp:coreProperties>
</file>