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https://uflorida-my.sharepoint.com/personal/athearn_ufl_edu/Documents/P2_EconomicInfoAnalysis/HydroponicProtectedAg/MyBudgets_Hydro/GreenhouseTomatoBudget/"/>
    </mc:Choice>
  </mc:AlternateContent>
  <xr:revisionPtr revIDLastSave="93" documentId="8_{8A3A6793-8CBB-43CD-832E-CE5C6D57BE83}" xr6:coauthVersionLast="32" xr6:coauthVersionMax="32" xr10:uidLastSave="{9C7E1573-0F06-4A16-8CB0-241405772D7F}"/>
  <bookViews>
    <workbookView xWindow="0" yWindow="0" windowWidth="17565" windowHeight="7500" tabRatio="740" xr2:uid="{766C62F1-FAF0-4A4C-94B9-6A4D2BD3EF0B}"/>
  </bookViews>
  <sheets>
    <sheet name="TitleSheet" sheetId="1" r:id="rId1"/>
    <sheet name="BudgetSummary" sheetId="3" r:id="rId2"/>
    <sheet name="ConfigurationYieldPrice" sheetId="12" r:id="rId3"/>
    <sheet name="MaterialsDetail" sheetId="4" r:id="rId4"/>
    <sheet name="LaborDetail" sheetId="5" r:id="rId5"/>
    <sheet name="FixedOverhead" sheetId="6" r:id="rId6"/>
    <sheet name="VariableOverhead" sheetId="7" r:id="rId7"/>
    <sheet name="BreakEvenAnalysis" sheetId="8" r:id="rId8"/>
    <sheet name="SensitivityAnalysis" sheetId="9" r:id="rId9"/>
    <sheet name="InvestmentAnalysis" sheetId="11" r:id="rId10"/>
    <sheet name="PartialBudgetAnalysis" sheetId="10" r:id="rId11"/>
  </sheets>
  <externalReferences>
    <externalReference r:id="rId12"/>
  </externalReferences>
  <definedNames>
    <definedName name="AnnualInterestRate">FixedOverhead!$C$4</definedName>
    <definedName name="AveragePrice">ConfigurationYieldPrice!$C$31</definedName>
    <definedName name="EnergySources">VariableOverhead_EnergyRateTable[Energy Source]</definedName>
    <definedName name="Expected_inflation_rate">InvestmentAnalysis!$C$7</definedName>
    <definedName name="HarvestPackingCostPerSalesUnit">BreakEvenAnalysis!$C$21</definedName>
    <definedName name="HarvestPerPlant">ConfigurationYieldPrice!$C$27</definedName>
    <definedName name="HarvestQuantityPerTurn">ConfigurationYieldPrice!$C$37</definedName>
    <definedName name="HarvestQuantityPerYear">ConfigurationYieldPrice!$D$37</definedName>
    <definedName name="HarvestUnit">ConfigurationYieldPrice!$D$27</definedName>
    <definedName name="HarvestUnitPerMarketUnit">ConfigurationYieldPrice!$C$28</definedName>
    <definedName name="Interest_LT_AnnualRate">'[1]2_RateTables'!$H$5</definedName>
    <definedName name="LaborDetail_AnnualHoursPaid">LaborDetail_ProductionCostTable[[#Totals],[Hours/Week]]</definedName>
    <definedName name="LaborDetail_HarvestPackHours">LaborDetail_HarvestPackCostTable[[#Totals],[Annual Hours]]</definedName>
    <definedName name="LaborDetail_HarvestPackLaborCost">LaborDetail_HarvestPackCostTable[[#Totals],[Annual Cost]]</definedName>
    <definedName name="LaborDetail_ProductionHours">LaborDetail_ProductionCostTable[[#Totals],[Annual Hours]]</definedName>
    <definedName name="LaborDetail_ProductionLaborCost">LaborDetail_ProductionCostTable[[#Totals],[Annual Cost]]</definedName>
    <definedName name="LaborDetail_UnpaidHours">LaborDetail_UnpaidTable[[#Totals],[Annual Hours]]</definedName>
    <definedName name="LaborDetail_UnpaidValue">LaborDetail_UnpaidTable[[#Totals],[Annual Value]]</definedName>
    <definedName name="LaborTypes">LaborDetail_RateTable[Labor Type]</definedName>
    <definedName name="MarketQuantityPerTurn">ConfigurationYieldPrice!$C$38</definedName>
    <definedName name="MarketQuantityPerYear">ConfigurationYieldPrice!$D$38</definedName>
    <definedName name="MarketUnit">ConfigurationYieldPrice!$D$30</definedName>
    <definedName name="MarketYieldPerPlant">ConfigurationYieldPrice!$C$30</definedName>
    <definedName name="Net_Present_Value">InvestmentAnalysis!$C$31</definedName>
    <definedName name="PackingMaterialsCost">MaterialsDetail_Marketing[[#Totals],[Annual Cost]]</definedName>
    <definedName name="PackingWeeks">LaborDetail!$F$26</definedName>
    <definedName name="PackoutPercentage">ConfigurationYieldPrice!$C$29</definedName>
    <definedName name="PB_NetOpCostChange">PartialBudgetAnalysis!$F$44</definedName>
    <definedName name="PB_NetOwnershipChange">PartialBudgetAnalysis!$L$61</definedName>
    <definedName name="PB_NetReturn">PartialBudgetAnalysis!$L$63</definedName>
    <definedName name="PB_NetRevenueChange">PartialBudgetAnalysis!$F$19</definedName>
    <definedName name="PlantsStartedPerYear">ConfigurationYieldPrice!$D$35</definedName>
    <definedName name="PlantStartsPerTurn">ConfigurationYieldPrice!$C$35</definedName>
    <definedName name="Risk_Adjusted_Discount_Rate">InvestmentAnalysis!$C$10</definedName>
    <definedName name="SalesRevenuePerTurn">ConfigurationYieldPrice!$C$39</definedName>
    <definedName name="SalesRevenuePerYear">ConfigurationYieldPrice!$D$39</definedName>
    <definedName name="SeedLossRate">ConfigurationYieldPrice!$C$26</definedName>
    <definedName name="SeedStartsPerTurn">ConfigurationYieldPrice!$C$36</definedName>
    <definedName name="SeedStartsPerYear">ConfigurationYieldPrice!$D$36</definedName>
    <definedName name="TotalCashCosts">BudgetSummary!$E$46</definedName>
    <definedName name="TotalCosts">BudgetSummary!$E$47</definedName>
    <definedName name="TotalFixedCashCosts">BudgetSummary!$E$42</definedName>
    <definedName name="TotalFixedNoncashCosts">BudgetSummary!$D$42</definedName>
    <definedName name="TotalVariableCashCosts">BudgetSummary!$E$35</definedName>
    <definedName name="TotalVariableCost">BudgetSummary!$E$45</definedName>
    <definedName name="TotalVariableNoncashCosts">BudgetSummary!$D$35</definedName>
    <definedName name="TurnsPerYear">ConfigurationYieldPrice!$C$8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8" l="1"/>
  <c r="C26" i="8"/>
  <c r="C25" i="8"/>
  <c r="C21" i="8"/>
  <c r="C15" i="8"/>
  <c r="C14" i="8"/>
  <c r="C13" i="8"/>
  <c r="C30" i="12" l="1"/>
  <c r="F51" i="4" l="1"/>
  <c r="F43" i="4"/>
  <c r="F31" i="4"/>
  <c r="F17" i="4"/>
  <c r="F9" i="4"/>
  <c r="B15" i="3"/>
  <c r="F6" i="4" l="1"/>
  <c r="G26" i="5" l="1"/>
  <c r="G25" i="5"/>
  <c r="G27" i="5"/>
  <c r="G28" i="5" l="1"/>
  <c r="C27" i="3" s="1"/>
  <c r="F42" i="4"/>
  <c r="F41" i="4"/>
  <c r="F30" i="4"/>
  <c r="F16" i="4"/>
  <c r="F10" i="4"/>
  <c r="F8" i="4"/>
  <c r="F37" i="10" l="1"/>
  <c r="F38" i="10"/>
  <c r="F39" i="10"/>
  <c r="F31" i="10"/>
  <c r="F32" i="10"/>
  <c r="F33" i="10"/>
  <c r="F34" i="10"/>
  <c r="F23" i="10"/>
  <c r="F24" i="10"/>
  <c r="F25" i="10"/>
  <c r="F26" i="10"/>
  <c r="F27" i="10"/>
  <c r="F28" i="10"/>
  <c r="F14" i="10"/>
  <c r="F15" i="10"/>
  <c r="F16" i="10"/>
  <c r="F9" i="10"/>
  <c r="F10" i="10"/>
  <c r="F11" i="10"/>
  <c r="G32" i="5"/>
  <c r="G33" i="5"/>
  <c r="G34" i="5"/>
  <c r="G35" i="5"/>
  <c r="G12" i="5"/>
  <c r="G13" i="5"/>
  <c r="G14" i="5"/>
  <c r="G15" i="5"/>
  <c r="G16" i="5"/>
  <c r="G17" i="5"/>
  <c r="G18" i="5"/>
  <c r="G19" i="5"/>
  <c r="G20" i="5"/>
  <c r="H32" i="5"/>
  <c r="H33" i="5"/>
  <c r="H34" i="5"/>
  <c r="H35" i="5"/>
  <c r="G36" i="5" l="1"/>
  <c r="C28" i="3" s="1"/>
  <c r="G21" i="5"/>
  <c r="C26" i="3" s="1"/>
  <c r="G14" i="7" l="1"/>
  <c r="I14" i="7" s="1"/>
  <c r="G26" i="6" l="1"/>
  <c r="K26" i="6" s="1"/>
  <c r="G27" i="6"/>
  <c r="K27" i="6" s="1"/>
  <c r="G39" i="6"/>
  <c r="K39" i="6" s="1"/>
  <c r="G36" i="6"/>
  <c r="K36" i="6" s="1"/>
  <c r="L26" i="6" l="1"/>
  <c r="L27" i="6"/>
  <c r="L39" i="6"/>
  <c r="L36" i="6"/>
  <c r="F28" i="4" l="1"/>
  <c r="G53" i="6" l="1"/>
  <c r="K53" i="6" s="1"/>
  <c r="G52" i="6"/>
  <c r="L52" i="6" l="1"/>
  <c r="L53" i="6"/>
  <c r="K52" i="6"/>
  <c r="F59" i="4" l="1"/>
  <c r="F60" i="4"/>
  <c r="F49" i="4"/>
  <c r="F50" i="4"/>
  <c r="F52" i="4"/>
  <c r="F37" i="4"/>
  <c r="F38" i="4"/>
  <c r="F39" i="4"/>
  <c r="F40" i="4"/>
  <c r="F44" i="4"/>
  <c r="C10" i="11" l="1"/>
  <c r="H61" i="10"/>
  <c r="C59" i="10"/>
  <c r="H59" i="10"/>
  <c r="I59" i="10"/>
  <c r="J59" i="10"/>
  <c r="G56" i="10"/>
  <c r="L56" i="10" s="1"/>
  <c r="G57" i="10"/>
  <c r="K57" i="10" s="1"/>
  <c r="G58" i="10"/>
  <c r="K58" i="10" s="1"/>
  <c r="G51" i="10"/>
  <c r="K51" i="10" s="1"/>
  <c r="G52" i="10"/>
  <c r="K52" i="10" s="1"/>
  <c r="G53" i="10"/>
  <c r="K53" i="10" s="1"/>
  <c r="J54" i="10"/>
  <c r="J61" i="10" s="1"/>
  <c r="I54" i="10"/>
  <c r="I61" i="10" s="1"/>
  <c r="H54" i="10"/>
  <c r="C54" i="10"/>
  <c r="C61" i="10" s="1"/>
  <c r="G9" i="6"/>
  <c r="E40" i="10"/>
  <c r="D40" i="10"/>
  <c r="E35" i="10"/>
  <c r="D35" i="10"/>
  <c r="E29" i="10"/>
  <c r="D29" i="10"/>
  <c r="F40" i="10"/>
  <c r="F35" i="10"/>
  <c r="F29" i="10"/>
  <c r="F17" i="10"/>
  <c r="F12" i="10"/>
  <c r="C12" i="8"/>
  <c r="C24" i="8"/>
  <c r="E42" i="10" l="1"/>
  <c r="K56" i="10"/>
  <c r="K59" i="10" s="1"/>
  <c r="L58" i="10"/>
  <c r="G59" i="10"/>
  <c r="L57" i="10"/>
  <c r="K54" i="10"/>
  <c r="L53" i="10"/>
  <c r="G54" i="10"/>
  <c r="L52" i="10"/>
  <c r="L51" i="10"/>
  <c r="F19" i="10"/>
  <c r="D42" i="10"/>
  <c r="F42" i="10"/>
  <c r="L59" i="10" l="1"/>
  <c r="K61" i="10"/>
  <c r="F43" i="10"/>
  <c r="F44" i="10"/>
  <c r="G61" i="10"/>
  <c r="L54" i="10"/>
  <c r="L61" i="10" s="1"/>
  <c r="L63" i="10" s="1"/>
  <c r="F5" i="10" s="1"/>
  <c r="F46" i="10"/>
  <c r="F20" i="7" l="1"/>
  <c r="E32" i="3" s="1"/>
  <c r="E20" i="7"/>
  <c r="E31" i="3" s="1"/>
  <c r="D20" i="7"/>
  <c r="E30" i="3" s="1"/>
  <c r="D13" i="3"/>
  <c r="D15" i="3"/>
  <c r="D35" i="12"/>
  <c r="B13" i="3" s="1"/>
  <c r="C6" i="3"/>
  <c r="C7" i="3"/>
  <c r="C8" i="3"/>
  <c r="C5" i="3"/>
  <c r="B6" i="3"/>
  <c r="B7" i="3"/>
  <c r="B8" i="3"/>
  <c r="B5" i="3"/>
  <c r="F53" i="4" l="1"/>
  <c r="E23" i="3" s="1"/>
  <c r="F45" i="4"/>
  <c r="E22" i="3" s="1"/>
  <c r="F23" i="4"/>
  <c r="F24" i="4"/>
  <c r="F25" i="4"/>
  <c r="F26" i="4"/>
  <c r="F27" i="4"/>
  <c r="F29" i="4"/>
  <c r="F32" i="4"/>
  <c r="F15" i="4"/>
  <c r="F18" i="4"/>
  <c r="F7" i="4"/>
  <c r="H36" i="5"/>
  <c r="C37" i="12"/>
  <c r="D37" i="12" s="1"/>
  <c r="C13" i="3" s="1"/>
  <c r="C36" i="12"/>
  <c r="D36" i="12" s="1"/>
  <c r="C38" i="12"/>
  <c r="D38" i="12" s="1"/>
  <c r="E18" i="12"/>
  <c r="F18" i="12" s="1"/>
  <c r="E19" i="12"/>
  <c r="F19" i="12" s="1"/>
  <c r="E20" i="12"/>
  <c r="C9" i="3" s="1"/>
  <c r="E21" i="12"/>
  <c r="F21" i="12" s="1"/>
  <c r="F6" i="5"/>
  <c r="E13" i="5" s="1"/>
  <c r="H13" i="5" s="1"/>
  <c r="F7" i="5"/>
  <c r="E20" i="5" s="1"/>
  <c r="H20" i="5" s="1"/>
  <c r="F8" i="5"/>
  <c r="E26" i="5" s="1"/>
  <c r="H26" i="5" s="1"/>
  <c r="G13" i="7"/>
  <c r="I13" i="7" s="1"/>
  <c r="G15" i="7"/>
  <c r="I15" i="7" s="1"/>
  <c r="G16" i="7"/>
  <c r="I16" i="7" s="1"/>
  <c r="G17" i="7"/>
  <c r="I17" i="7" s="1"/>
  <c r="G18" i="7"/>
  <c r="I18" i="7" s="1"/>
  <c r="G19" i="7"/>
  <c r="I19" i="7" s="1"/>
  <c r="F58" i="4" l="1"/>
  <c r="F57" i="4"/>
  <c r="E25" i="5"/>
  <c r="H25" i="5" s="1"/>
  <c r="E27" i="5"/>
  <c r="H27" i="5" s="1"/>
  <c r="D28" i="3"/>
  <c r="D35" i="3" s="1"/>
  <c r="E22" i="12"/>
  <c r="C15" i="3"/>
  <c r="C20" i="8"/>
  <c r="C11" i="8"/>
  <c r="C39" i="12"/>
  <c r="D39" i="12" s="1"/>
  <c r="E12" i="5"/>
  <c r="H12" i="5" s="1"/>
  <c r="E16" i="5"/>
  <c r="H16" i="5" s="1"/>
  <c r="E18" i="5"/>
  <c r="H18" i="5" s="1"/>
  <c r="E14" i="5"/>
  <c r="H14" i="5" s="1"/>
  <c r="E15" i="5"/>
  <c r="H15" i="5" s="1"/>
  <c r="E19" i="5"/>
  <c r="H19" i="5" s="1"/>
  <c r="E17" i="5"/>
  <c r="H17" i="5" s="1"/>
  <c r="F19" i="4"/>
  <c r="E20" i="3" s="1"/>
  <c r="F33" i="4"/>
  <c r="E21" i="3" s="1"/>
  <c r="F11" i="4"/>
  <c r="E19" i="3" s="1"/>
  <c r="F20" i="12"/>
  <c r="F22" i="12" s="1"/>
  <c r="G20" i="7"/>
  <c r="I20" i="7"/>
  <c r="K76" i="6"/>
  <c r="D41" i="3" s="1"/>
  <c r="L76" i="6"/>
  <c r="E41" i="3" s="1"/>
  <c r="C61" i="6"/>
  <c r="C15" i="11" s="1"/>
  <c r="H61" i="6"/>
  <c r="I61" i="6"/>
  <c r="J61" i="6"/>
  <c r="G35" i="6"/>
  <c r="L35" i="6" s="1"/>
  <c r="G37" i="6"/>
  <c r="L37" i="6" s="1"/>
  <c r="G38" i="6"/>
  <c r="L38" i="6" s="1"/>
  <c r="G40" i="6"/>
  <c r="L40" i="6" s="1"/>
  <c r="G41" i="6"/>
  <c r="L41" i="6" s="1"/>
  <c r="G42" i="6"/>
  <c r="L42" i="6" s="1"/>
  <c r="G43" i="6"/>
  <c r="L43" i="6" s="1"/>
  <c r="G44" i="6"/>
  <c r="L44" i="6" s="1"/>
  <c r="G45" i="6"/>
  <c r="L45" i="6" s="1"/>
  <c r="G46" i="6"/>
  <c r="L46" i="6" s="1"/>
  <c r="G47" i="6"/>
  <c r="L47" i="6" s="1"/>
  <c r="G48" i="6"/>
  <c r="L48" i="6" s="1"/>
  <c r="G49" i="6"/>
  <c r="L49" i="6" s="1"/>
  <c r="G50" i="6"/>
  <c r="L50" i="6" s="1"/>
  <c r="G51" i="6"/>
  <c r="L51" i="6" s="1"/>
  <c r="G54" i="6"/>
  <c r="L54" i="6" s="1"/>
  <c r="G55" i="6"/>
  <c r="L55" i="6" s="1"/>
  <c r="G56" i="6"/>
  <c r="L56" i="6" s="1"/>
  <c r="G57" i="6"/>
  <c r="L57" i="6" s="1"/>
  <c r="G58" i="6"/>
  <c r="L58" i="6" s="1"/>
  <c r="G59" i="6"/>
  <c r="L59" i="6" s="1"/>
  <c r="G60" i="6"/>
  <c r="L60" i="6" s="1"/>
  <c r="C30" i="6"/>
  <c r="C14" i="11" s="1"/>
  <c r="L9" i="6"/>
  <c r="G10" i="6"/>
  <c r="L10" i="6" s="1"/>
  <c r="G11" i="6"/>
  <c r="K11" i="6" s="1"/>
  <c r="G12" i="6"/>
  <c r="K12" i="6" s="1"/>
  <c r="G13" i="6"/>
  <c r="L13" i="6" s="1"/>
  <c r="G14" i="6"/>
  <c r="L14" i="6" s="1"/>
  <c r="G15" i="6"/>
  <c r="L15" i="6" s="1"/>
  <c r="G16" i="6"/>
  <c r="K16" i="6" s="1"/>
  <c r="G17" i="6"/>
  <c r="K17" i="6" s="1"/>
  <c r="G18" i="6"/>
  <c r="K18" i="6" s="1"/>
  <c r="G19" i="6"/>
  <c r="L19" i="6" s="1"/>
  <c r="G20" i="6"/>
  <c r="L20" i="6" s="1"/>
  <c r="G21" i="6"/>
  <c r="K21" i="6" s="1"/>
  <c r="G22" i="6"/>
  <c r="L22" i="6" s="1"/>
  <c r="G23" i="6"/>
  <c r="L23" i="6" s="1"/>
  <c r="G24" i="6"/>
  <c r="K24" i="6" s="1"/>
  <c r="G25" i="6"/>
  <c r="K25" i="6" s="1"/>
  <c r="G28" i="6"/>
  <c r="L28" i="6" s="1"/>
  <c r="G29" i="6"/>
  <c r="L29" i="6" s="1"/>
  <c r="H30" i="6"/>
  <c r="I30" i="6"/>
  <c r="J30" i="6"/>
  <c r="F61" i="4" l="1"/>
  <c r="C16" i="11"/>
  <c r="C24" i="11" s="1"/>
  <c r="C26" i="11" s="1"/>
  <c r="H28" i="5"/>
  <c r="E15" i="3"/>
  <c r="D21" i="11"/>
  <c r="E21" i="11" s="1"/>
  <c r="F21" i="11" s="1"/>
  <c r="G21" i="11" s="1"/>
  <c r="H21" i="11" s="1"/>
  <c r="I21" i="11" s="1"/>
  <c r="J21" i="11" s="1"/>
  <c r="K21" i="11" s="1"/>
  <c r="L21" i="11" s="1"/>
  <c r="M21" i="11" s="1"/>
  <c r="H21" i="5"/>
  <c r="E26" i="3" s="1"/>
  <c r="K14" i="6"/>
  <c r="L25" i="6"/>
  <c r="L18" i="6"/>
  <c r="K22" i="6"/>
  <c r="L16" i="6"/>
  <c r="K29" i="6"/>
  <c r="K20" i="6"/>
  <c r="K10" i="6"/>
  <c r="L61" i="6"/>
  <c r="E40" i="3" s="1"/>
  <c r="K60" i="6"/>
  <c r="K56" i="6"/>
  <c r="K48" i="6"/>
  <c r="K44" i="6"/>
  <c r="K40" i="6"/>
  <c r="K28" i="6"/>
  <c r="K23" i="6"/>
  <c r="K19" i="6"/>
  <c r="K15" i="6"/>
  <c r="K9" i="6"/>
  <c r="L24" i="6"/>
  <c r="L21" i="6"/>
  <c r="L17" i="6"/>
  <c r="L12" i="6"/>
  <c r="K59" i="6"/>
  <c r="K51" i="6"/>
  <c r="K47" i="6"/>
  <c r="K43" i="6"/>
  <c r="K38" i="6"/>
  <c r="G61" i="6"/>
  <c r="K58" i="6"/>
  <c r="K55" i="6"/>
  <c r="K50" i="6"/>
  <c r="K46" i="6"/>
  <c r="K42" i="6"/>
  <c r="K37" i="6"/>
  <c r="K57" i="6"/>
  <c r="K54" i="6"/>
  <c r="K49" i="6"/>
  <c r="K45" i="6"/>
  <c r="K41" i="6"/>
  <c r="K35" i="6"/>
  <c r="L11" i="6"/>
  <c r="G30" i="6"/>
  <c r="K13" i="6"/>
  <c r="C19" i="8" l="1"/>
  <c r="E24" i="3"/>
  <c r="C25" i="11"/>
  <c r="C27" i="11" s="1"/>
  <c r="E27" i="3"/>
  <c r="C18" i="8"/>
  <c r="L30" i="6"/>
  <c r="E39" i="3" s="1"/>
  <c r="E42" i="3" s="1"/>
  <c r="K61" i="6"/>
  <c r="D40" i="3" s="1"/>
  <c r="K30" i="6"/>
  <c r="D39" i="3" s="1"/>
  <c r="E34" i="3" l="1"/>
  <c r="E35" i="3" s="1"/>
  <c r="E46" i="3" s="1"/>
  <c r="D23" i="11"/>
  <c r="L23" i="11"/>
  <c r="G23" i="11"/>
  <c r="M23" i="11"/>
  <c r="K23" i="11"/>
  <c r="F23" i="11"/>
  <c r="J23" i="11"/>
  <c r="E23" i="11"/>
  <c r="I23" i="11"/>
  <c r="H23" i="11"/>
  <c r="D42" i="3"/>
  <c r="C6" i="8" s="1"/>
  <c r="E45" i="3" l="1"/>
  <c r="D22" i="11"/>
  <c r="E22" i="11" s="1"/>
  <c r="F22" i="11" s="1"/>
  <c r="F24" i="11" s="1"/>
  <c r="F25" i="11" s="1"/>
  <c r="E47" i="3"/>
  <c r="E49" i="3"/>
  <c r="C7" i="8"/>
  <c r="G22" i="11" l="1"/>
  <c r="C5" i="8"/>
  <c r="E48" i="3"/>
  <c r="E24" i="11"/>
  <c r="E25" i="11" s="1"/>
  <c r="D24" i="11"/>
  <c r="D25" i="11" s="1"/>
  <c r="D27" i="11" s="1"/>
  <c r="G8" i="9"/>
  <c r="H11" i="9"/>
  <c r="E11" i="9"/>
  <c r="F11" i="9"/>
  <c r="E10" i="9"/>
  <c r="F10" i="9"/>
  <c r="E9" i="9"/>
  <c r="H9" i="9"/>
  <c r="E50" i="3"/>
  <c r="E8" i="9"/>
  <c r="F8" i="9"/>
  <c r="D9" i="9"/>
  <c r="H8" i="9"/>
  <c r="E7" i="9"/>
  <c r="D7" i="9"/>
  <c r="F9" i="9"/>
  <c r="D10" i="9"/>
  <c r="G10" i="9"/>
  <c r="G7" i="9"/>
  <c r="C8" i="8"/>
  <c r="D8" i="9"/>
  <c r="F7" i="9"/>
  <c r="D11" i="9"/>
  <c r="H10" i="9"/>
  <c r="G11" i="9"/>
  <c r="H7" i="9"/>
  <c r="G9" i="9"/>
  <c r="H22" i="11"/>
  <c r="G24" i="11"/>
  <c r="D26" i="11" l="1"/>
  <c r="E26" i="11" s="1"/>
  <c r="F26" i="11" s="1"/>
  <c r="G26" i="11" s="1"/>
  <c r="E27" i="11"/>
  <c r="F27" i="11" s="1"/>
  <c r="I22" i="11"/>
  <c r="H24" i="11"/>
  <c r="H25" i="11" s="1"/>
  <c r="G25" i="11"/>
  <c r="H26" i="11" l="1"/>
  <c r="G27" i="11"/>
  <c r="H27" i="11" s="1"/>
  <c r="J22" i="11"/>
  <c r="I24" i="11"/>
  <c r="I26" i="11" l="1"/>
  <c r="I25" i="11"/>
  <c r="I27" i="11" s="1"/>
  <c r="K22" i="11"/>
  <c r="J24" i="11"/>
  <c r="J25" i="11" s="1"/>
  <c r="J27" i="11" l="1"/>
  <c r="L22" i="11"/>
  <c r="K24" i="11"/>
  <c r="J26" i="11"/>
  <c r="K26" i="11" l="1"/>
  <c r="K25" i="11"/>
  <c r="K27" i="11" s="1"/>
  <c r="M22" i="11"/>
  <c r="M24" i="11" s="1"/>
  <c r="M25" i="11" s="1"/>
  <c r="L24" i="11"/>
  <c r="L25" i="11" s="1"/>
  <c r="C30" i="11" l="1"/>
  <c r="L27" i="11"/>
  <c r="M27" i="11" s="1"/>
  <c r="C31" i="11"/>
  <c r="F5" i="11" s="1"/>
  <c r="L26" i="11"/>
  <c r="M26" i="11" l="1"/>
  <c r="C29" i="11"/>
</calcChain>
</file>

<file path=xl/sharedStrings.xml><?xml version="1.0" encoding="utf-8"?>
<sst xmlns="http://schemas.openxmlformats.org/spreadsheetml/2006/main" count="420" uniqueCount="271">
  <si>
    <t>Crop Variety:</t>
  </si>
  <si>
    <t>Production System:</t>
  </si>
  <si>
    <t>Unit</t>
  </si>
  <si>
    <t>Quantity</t>
  </si>
  <si>
    <t>GENERAL FARM OVERHEAD</t>
  </si>
  <si>
    <t>FIXED OVERHEAD</t>
  </si>
  <si>
    <t>GREENHOUSE &amp; ENVIRONMENTAL CONTROLS</t>
  </si>
  <si>
    <t>Interest Rate or Opportunity Cost of Capital (APR):</t>
  </si>
  <si>
    <t>Item</t>
  </si>
  <si>
    <t>Use Life (Years)</t>
  </si>
  <si>
    <t>Salvage Value</t>
  </si>
  <si>
    <t>Financed Portion</t>
  </si>
  <si>
    <t>Capital Recovery</t>
  </si>
  <si>
    <t>Insurance</t>
  </si>
  <si>
    <t>Taxes &amp; Fees</t>
  </si>
  <si>
    <t>Fixed Repairs</t>
  </si>
  <si>
    <t>Annual Ownership Costs</t>
  </si>
  <si>
    <t>Original Cost</t>
  </si>
  <si>
    <t>Total  Noncash Cost</t>
  </si>
  <si>
    <t>Total          Cash Cost</t>
  </si>
  <si>
    <t>PRODUCTION EQUIPMENT &amp; DURABLE SUPPLIES</t>
  </si>
  <si>
    <t>Annual Overhead Costs</t>
  </si>
  <si>
    <t>Total</t>
  </si>
  <si>
    <t>Column1</t>
  </si>
  <si>
    <t>Column2</t>
  </si>
  <si>
    <t>Column3</t>
  </si>
  <si>
    <t>Column4</t>
  </si>
  <si>
    <t>Column5</t>
  </si>
  <si>
    <t>Column6</t>
  </si>
  <si>
    <t>Column7</t>
  </si>
  <si>
    <t>Column8</t>
  </si>
  <si>
    <t>VARIABLE OVERHEAD</t>
  </si>
  <si>
    <t>Energy Source</t>
  </si>
  <si>
    <t>Cost per Unit</t>
  </si>
  <si>
    <t>Electricity</t>
  </si>
  <si>
    <t>ENERGY RATES</t>
  </si>
  <si>
    <t>EQUIPMENT OPERATING COSTS</t>
  </si>
  <si>
    <t>Power Source</t>
  </si>
  <si>
    <t>Electricity Cost/Week</t>
  </si>
  <si>
    <t>Fuel Cost/Week</t>
  </si>
  <si>
    <t>Repair Cost/Week</t>
  </si>
  <si>
    <t>Total Cost/Week</t>
  </si>
  <si>
    <t>Operating Weeks</t>
  </si>
  <si>
    <t>Annual Operating Cost</t>
  </si>
  <si>
    <t>LABOR DETAIL</t>
  </si>
  <si>
    <t>LABOR RATES</t>
  </si>
  <si>
    <t>Labor Type</t>
  </si>
  <si>
    <t>Payroll Overhead</t>
  </si>
  <si>
    <t>Worker Wage</t>
  </si>
  <si>
    <t>Total Wage Rate</t>
  </si>
  <si>
    <t>Labor Activity</t>
  </si>
  <si>
    <t>Hours/Week</t>
  </si>
  <si>
    <t>Cost/Week</t>
  </si>
  <si>
    <t>Number of Weeks</t>
  </si>
  <si>
    <t>Annual Cost</t>
  </si>
  <si>
    <t>hour</t>
  </si>
  <si>
    <t>PRODUCTION LABOR COSTS</t>
  </si>
  <si>
    <t>MATERIALS DETAIL</t>
  </si>
  <si>
    <t>FERTILIZERS &amp; ACIDIFIERS</t>
  </si>
  <si>
    <t>GROWING MEDIA &amp; DISPOSABLE CONTAINERS</t>
  </si>
  <si>
    <t>PEST &amp; DISEASE MANAGEMENT MATERIALS</t>
  </si>
  <si>
    <t>Notes</t>
  </si>
  <si>
    <t>Cost/Unit</t>
  </si>
  <si>
    <t>Area (Sq. Ft.)</t>
  </si>
  <si>
    <t>SqFt-Weeks</t>
  </si>
  <si>
    <t>BUDGET SUMMARY</t>
  </si>
  <si>
    <t>Weeks/Turn</t>
  </si>
  <si>
    <t>Structure Type:</t>
  </si>
  <si>
    <t>Production Scale:</t>
  </si>
  <si>
    <t>Number of Turns per Year:</t>
  </si>
  <si>
    <t>Total Weeks</t>
  </si>
  <si>
    <t>PRODUCTION AREA-TIME</t>
  </si>
  <si>
    <t>Plants Started in Production</t>
  </si>
  <si>
    <t>Seeds Started</t>
  </si>
  <si>
    <t>Per Turn</t>
  </si>
  <si>
    <t>Per Year</t>
  </si>
  <si>
    <t>Marketable Yield per Plant Started</t>
  </si>
  <si>
    <t>CROP CONFIGURATION &amp; YIELD ASSUMPTIONS</t>
  </si>
  <si>
    <t>Transplant Production</t>
  </si>
  <si>
    <t>Pre-Harvest Crop Production</t>
  </si>
  <si>
    <t>Harvest Production</t>
  </si>
  <si>
    <t>Harvest Yield per Plant Started:</t>
  </si>
  <si>
    <t>Packout Percentage:</t>
  </si>
  <si>
    <t>Value</t>
  </si>
  <si>
    <t>Seed Loss Rate:</t>
  </si>
  <si>
    <t>Quantity Harvested</t>
  </si>
  <si>
    <t>Quantity Marketed</t>
  </si>
  <si>
    <t>Sales Revenue</t>
  </si>
  <si>
    <t>Harvest Units per Market Unit:</t>
  </si>
  <si>
    <t>Average Price per Market Unit</t>
  </si>
  <si>
    <t>640 plants per house. Five twin rows, each 86' long, spaced 5' on center. 20" space on center between the single rows in a twin row. Plants spaced 16" apart along a row. 5' workspace on ends. 4' workspace on sides.</t>
  </si>
  <si>
    <t>Greenhouse Cluster Tomatoes (Indeterminant)</t>
  </si>
  <si>
    <t>Layflat Growbags with Cocofiber</t>
  </si>
  <si>
    <t>Full 30' x 96' Greenhouse</t>
  </si>
  <si>
    <t>Activity</t>
  </si>
  <si>
    <t>Configuration Description</t>
  </si>
  <si>
    <t>Rate</t>
  </si>
  <si>
    <t>MARKETABLE YIELD RATES AND PRICE</t>
  </si>
  <si>
    <t>PRODUCTION QUANTITIES AND REVENUE</t>
  </si>
  <si>
    <t>UNPAID LABOR</t>
  </si>
  <si>
    <t>North Florida Research &amp; Education Center - Suwannee Valley</t>
  </si>
  <si>
    <t>University of Florida, IFAS Extension</t>
  </si>
  <si>
    <t>ENTERPRISE DESCRIPTION</t>
  </si>
  <si>
    <t>Fan &amp; Pad Greenhouse</t>
  </si>
  <si>
    <t>Plants Started</t>
  </si>
  <si>
    <t>Harvest Quantity</t>
  </si>
  <si>
    <t>Harvest Unit</t>
  </si>
  <si>
    <t>Sales Quantity</t>
  </si>
  <si>
    <t>Sales Unit</t>
  </si>
  <si>
    <t>Average Selling Price</t>
  </si>
  <si>
    <t>ANNUAL PRODUCTION QUANTITIES &amp; REVENUE</t>
  </si>
  <si>
    <t>OTHER GROWING MATERIALS</t>
  </si>
  <si>
    <t>Harvesting &amp; Marketing Materials</t>
  </si>
  <si>
    <t>Materials</t>
  </si>
  <si>
    <t>Noncash Cost</t>
  </si>
  <si>
    <t>Cash Cost</t>
  </si>
  <si>
    <t>Growing Media &amp; Disposable Containers</t>
  </si>
  <si>
    <t>Fertilizers &amp; Acidifiers</t>
  </si>
  <si>
    <t>TRANSPLANT PRODUCTION MATERIALS</t>
  </si>
  <si>
    <t>Transplant Production Materials</t>
  </si>
  <si>
    <t>Pest &amp; Disease Management Materials</t>
  </si>
  <si>
    <t>Other Growing Materials</t>
  </si>
  <si>
    <t>Labor</t>
  </si>
  <si>
    <t>Unpaid Labor</t>
  </si>
  <si>
    <t>Pre-harvest Growing Labor</t>
  </si>
  <si>
    <t>Harvest &amp; Packing Labor</t>
  </si>
  <si>
    <t>Cleaning, Maintenance &amp; Repairs</t>
  </si>
  <si>
    <t>Equipment Operating Costs</t>
  </si>
  <si>
    <t>Fuel</t>
  </si>
  <si>
    <t>Equipment Repairs</t>
  </si>
  <si>
    <t>Value/Week</t>
  </si>
  <si>
    <t>Annual Value</t>
  </si>
  <si>
    <t>Hours</t>
  </si>
  <si>
    <t>Interest on Operating Capital</t>
  </si>
  <si>
    <t>Monthly Rate</t>
  </si>
  <si>
    <t>Six months, average</t>
  </si>
  <si>
    <t>Total Annual Cost</t>
  </si>
  <si>
    <t>ANNUAL FIXED OVERHEAD COSTS</t>
  </si>
  <si>
    <t>Greenhouse &amp; Environmental Controls</t>
  </si>
  <si>
    <t>Production Equipment &amp; Durable Supplies</t>
  </si>
  <si>
    <t>General Farm Overhead</t>
  </si>
  <si>
    <t>TOTAL ANNUAL COSTS &amp; NET RETURNS</t>
  </si>
  <si>
    <t>Total Cash Costs:</t>
  </si>
  <si>
    <t>Total Costs:</t>
  </si>
  <si>
    <t>Net Return above Cash Costs:</t>
  </si>
  <si>
    <t>Net Return above Total Costs:</t>
  </si>
  <si>
    <t>BREAK-EVEN ANALYSIS</t>
  </si>
  <si>
    <t>Net Return above Variable Operating Costs:</t>
  </si>
  <si>
    <t>Total Variable Operating Costs:</t>
  </si>
  <si>
    <t>ANNUAL VARIABLE OPERATING COSTS</t>
  </si>
  <si>
    <t>Total Annual Costs</t>
  </si>
  <si>
    <t>Break-even price over variable costs</t>
  </si>
  <si>
    <t>Break-even price over cash costs</t>
  </si>
  <si>
    <t>Break-even price over total costs</t>
  </si>
  <si>
    <t>Assuming sales quantity of:</t>
  </si>
  <si>
    <t>Harvesting &amp; packing labor costs:</t>
  </si>
  <si>
    <t>Expected sales quantity:</t>
  </si>
  <si>
    <t>Harvesting &amp; packing cost per sales unit:</t>
  </si>
  <si>
    <t>Break-even yield over variable costs</t>
  </si>
  <si>
    <t>Break-even yield over cash costs</t>
  </si>
  <si>
    <t>Break-even yield over total costs</t>
  </si>
  <si>
    <t>Variable Costs:</t>
  </si>
  <si>
    <t>Cash Costs:</t>
  </si>
  <si>
    <t>Fixed Costs:</t>
  </si>
  <si>
    <t>Total Annual</t>
  </si>
  <si>
    <t>Assuming average sales price of:</t>
  </si>
  <si>
    <t>Market/Sales Unit:</t>
  </si>
  <si>
    <t>ANNUAL COST ESTIMATES</t>
  </si>
  <si>
    <t>BREAK-EVEN PRICE CALCULATIONS</t>
  </si>
  <si>
    <t>COSTS THAT WILL VARY WITH CHANGING YIELD</t>
  </si>
  <si>
    <t>BREAK-EVEN YIELD CALCULATIONS</t>
  </si>
  <si>
    <t>SENSITIVITY ANALYSIS</t>
  </si>
  <si>
    <t>ANNUAL NET RETURN ABOVE TOTAL COSTS</t>
  </si>
  <si>
    <t>Annual Sales Quantity</t>
  </si>
  <si>
    <t>PARTIAL BUDGET ANALYSIS</t>
  </si>
  <si>
    <t>Change Being Evaluated</t>
  </si>
  <si>
    <t>Net Annual Budget Impact per Acre:</t>
  </si>
  <si>
    <t>ANNUAL REVENUE CHANGES</t>
  </si>
  <si>
    <t>Additional Revenue Items (Production/Products/Grades)</t>
  </si>
  <si>
    <t>Revenue/Unit</t>
  </si>
  <si>
    <t>Additional Revenue</t>
  </si>
  <si>
    <t>Reduced Revenue Items (Production/Products/Grades)</t>
  </si>
  <si>
    <t>Reduced Revenue/Acre</t>
  </si>
  <si>
    <t>Net Change in Revenue</t>
  </si>
  <si>
    <t>ANNUAL OPERATING COST CHANGES</t>
  </si>
  <si>
    <t>Additional Cost</t>
  </si>
  <si>
    <t>Reduced Cost</t>
  </si>
  <si>
    <t>Net Change</t>
  </si>
  <si>
    <t>Totals Without Interest on Operating Capital</t>
  </si>
  <si>
    <t>Interest Applied to Net Change</t>
  </si>
  <si>
    <t>Net Change in Operating Cost</t>
  </si>
  <si>
    <t>Effective Rate:</t>
  </si>
  <si>
    <t>Net Return (Cost) Considering Operating Costs Only</t>
  </si>
  <si>
    <t>CHANGES IN OWNERSHIP COSTS</t>
  </si>
  <si>
    <t>Annualized Costs</t>
  </si>
  <si>
    <t>Additional Items</t>
  </si>
  <si>
    <t>Net Change in Ownership Costs</t>
  </si>
  <si>
    <t>Reduced Items</t>
  </si>
  <si>
    <t>Net Return (Cost) Considering Operating &amp; Ownership Costs</t>
  </si>
  <si>
    <t>Net Present Value:</t>
  </si>
  <si>
    <t>Risk Premium:</t>
  </si>
  <si>
    <t>INITIAL (PRESENT) INVESTMENTS</t>
  </si>
  <si>
    <t>Investment Items</t>
  </si>
  <si>
    <t>Initial Cash Costs</t>
  </si>
  <si>
    <t>NET CHANGE IN EXPECTED ANNUAL CASH FLOWS</t>
  </si>
  <si>
    <t>Years from Initial Investment Date:</t>
  </si>
  <si>
    <t>Annual Crop Description:</t>
  </si>
  <si>
    <t>Cash Revenues</t>
  </si>
  <si>
    <t>Annual Net Cash Flow</t>
  </si>
  <si>
    <t>Annual Discounted Net Cash Flow</t>
  </si>
  <si>
    <t>Cumulative Net Cash Flow</t>
  </si>
  <si>
    <t>Cumulative Discounted Net Cash Flow</t>
  </si>
  <si>
    <t>Payback Period (years)</t>
  </si>
  <si>
    <t>Internal Rate of Return (%)</t>
  </si>
  <si>
    <t>Net Present Value ($)</t>
  </si>
  <si>
    <t>MULTI-YEAR INVESTMENT ANALYSIS (ANNUAL CASH FLOW)</t>
  </si>
  <si>
    <t>Total Harvest Weeks:</t>
  </si>
  <si>
    <t>Annual Setup/Cleanup</t>
  </si>
  <si>
    <t>Start up investment in greenhouse for 10 years of tomato production</t>
  </si>
  <si>
    <t>Annual Risk-Free Discount Rate, nominal:</t>
  </si>
  <si>
    <t>Risk-Adjusted Discount Rate, nominal:</t>
  </si>
  <si>
    <t>Expected inflation rate:</t>
  </si>
  <si>
    <t>Variable Operating Cash Costs</t>
  </si>
  <si>
    <t>Fixed Overhead Cash Costs</t>
  </si>
  <si>
    <t>Description</t>
  </si>
  <si>
    <t>Annual Hours</t>
  </si>
  <si>
    <t>Avg Months</t>
  </si>
  <si>
    <t>Information in this table come from the FixedOverhead worksheet.</t>
  </si>
  <si>
    <r>
      <t xml:space="preserve">Information in this table comes from the MaterialsDetail, LaborDetail, and VariableOverhead worksheets. If the enterprise requires short-term operating lines of credit, enter the monthly interest rate in cell C35 and the average number of months interest accrues in cell D35. For example, if interest accrues on half your operating costs for 8 months and half for 4 months, enter "6" in cell C35. The cash cost in cell E35 represents an </t>
    </r>
    <r>
      <rPr>
        <i/>
        <sz val="11"/>
        <color theme="1"/>
        <rFont val="Calibri"/>
        <family val="2"/>
        <scheme val="minor"/>
      </rPr>
      <t>estimate</t>
    </r>
    <r>
      <rPr>
        <sz val="11"/>
        <color theme="1"/>
        <rFont val="Calibri"/>
        <family val="2"/>
        <scheme val="minor"/>
      </rPr>
      <t xml:space="preserve"> of your interest costs, based on the information in cells C35 and D35. Make sure the interest rate is showing properly in cell C35. For example, a 1.5% interest rate should show as either 0.015 or 1.5%. If it shows as 1.5 without the percent symbol, the cost in cell E35 will not calculate properly.</t>
    </r>
  </si>
  <si>
    <t>Information in this table shows total costs and net returns based on all other information in this workbook. Interpretation of net return will depend on whether any costs were left out. For example, if no cost is entered for unpaid labor or land, then the return is net return to unpaid labor and land.</t>
  </si>
  <si>
    <t>In this worksheet, enter information about your crop configuration and yield assumptions in the yellow cells. The number of turns per year (cell C8) must be entered as a numerical value, for example, 2, not two. "Turns" refers to the number of crop cycles. For example, if you only plant one tomato crop per year, it is 1 turn. If you plant lettuce at 10 different points of time in a year, it is 10 turns.</t>
  </si>
  <si>
    <t>Enter the square feet occupied by each of the production stages, and the number of weeks each stage occupies the space per turn. The total weeks and square-foot-weeks will calculate automatically based on this information and the number of turns you entered in cell C8. The values in this table are not used elsewhere in this workbook, but could be used to calculate returns per week or per square-foot-week outside this template. That information could help with crop comparisons.</t>
  </si>
  <si>
    <t>Enter the number of plants started in production per turn in cell C35. This number should refer to the number of transplants started in the grow-out area, not the number of seed started. The number must be entered as a numerical value. All other cells in this table will calculate automatically based on information you entered elsewhere.</t>
  </si>
  <si>
    <t>List growing media and disposable containers that typically do not last more than a year. Enter the unit of purchase, the cost per unit, and the number of units (quantity) used in crop production for one year. The annual cost will calculate automatically.</t>
  </si>
  <si>
    <t>List fertilizers and acidifiers used for the nutrient solution. Enter the unit of purchase, the cost per unit, and the number of units (quantity) needed for crop production in one year. The annual cost will calculate automatically.</t>
  </si>
  <si>
    <t>List pest and disease management materials. Enter the unit of purchase, the cost per unit, and the number of units (quantity) needed for crop production in one year. The annual cost will calculate automatically.</t>
  </si>
  <si>
    <t>List other growing materials not shown in the other tables. Enter the unit of purchase, the cost per unit, and the number of units (quantity) needed for crop production in one year. The annual cost will calculate automatically.</t>
  </si>
  <si>
    <t xml:space="preserve">Numerical values must be entered in the Value column. Text should be entered in the Unit column. The seed loss rate refers to the percentage of seeds planted that do not turn into a transplant used in production. For example, if you plant 100 seeds, but only use 90 transplants in production, the seed loss rate is 10%. You can enter separate units for harvesting and marketing. For example, you may measure harvest in pounds, but sell the produce in 11-lb flats. In that case, the Harvest Units per Market Unit would be 11. Enter the harvest unit (e.g., lb) in cell D27 and the market/sales unit (e.g., 11-lb flat) in cell D30. Packout percentage is the percentage of your harvested crop that you actually sell. Enter the average selling price at the appropriate market level. </t>
  </si>
  <si>
    <t>Enter up to 3 different labor types in the Labor Rates table. Enter the hourly wage for each type. Enter a payroll overhead estimate, as a percentage of the workers' wage, for each type. That may include employer costs for social security, Medicare, FUTA, Florida reemployment, workers' compensation insurance, etc. The total wage rate will calculate automatically based on the workers' wage and payroll overhead percentage.</t>
  </si>
  <si>
    <t>PACKING MATERIALS</t>
  </si>
  <si>
    <t>Packing Materials</t>
  </si>
  <si>
    <t>HARVESTING &amp; PACKING LABOR</t>
  </si>
  <si>
    <t>Production Labor</t>
  </si>
  <si>
    <t>Harvesting &amp; Packing Labor</t>
  </si>
  <si>
    <t xml:space="preserve">Packing material costs: </t>
  </si>
  <si>
    <t>Information in this table comes from the ConfigurationYieldPrice worksheet.</t>
  </si>
  <si>
    <t>All information in this budget summary comes from details entered on other worksheets in this workbook, except for the interest on operating capital (Row 35). The information in the Enterprise Description table comes from the ConfigurationYieldPrice worksheet.</t>
  </si>
  <si>
    <t>In the Production Labor Costs table, list labor activities for all production labor, not including harvesting and packing. In the Labor Type column, select a labor type from the dropdown menu. The dropdown menu lists the different labor types you entered in the Labor Rates table. Estimate the average number of person-hours per week for each activity, only for weeks when that activity occurs; enter in the Hours/Week column. Estimate the number of weeks when each activity occurs; enter in the Number of Weeks column. For example, tomato transplant production may take 5 weeks in a year. The average hours per week during the 5 weeks is 4 hours. In that case, the number 4 should be entered in the Hours/Week column and the number 5 entered in the Number of Weeks column. The cost per week, annual hours, and annual cost will be calculated automatically.</t>
  </si>
  <si>
    <t xml:space="preserve">In the Harvesting &amp; Packing Labor table, list labor activities associated with harvesting &amp; packing. These should be activities that are roughly proportional to the quantity harvested. Select labor type and enter hours per week and number of weeks as described for the Production Labor Costs table. Selling or marketing costs that are mostly independent of the quantity harvested and sold should be listed in the General Business Overhead table on the FixedOverhead worksheet. </t>
  </si>
  <si>
    <r>
      <t xml:space="preserve">In the Unpaid Labor table, list any unpaid labor that is roughly proportional to the amount of production. Estimate the hours per week, value per week (e.g., what you would pay if the unpaid worker were not available), and the number of weeks when that unpaid labor activity occurs. Unpaid </t>
    </r>
    <r>
      <rPr>
        <i/>
        <sz val="11"/>
        <color theme="1"/>
        <rFont val="Calibri"/>
        <family val="2"/>
        <scheme val="minor"/>
      </rPr>
      <t>management</t>
    </r>
    <r>
      <rPr>
        <sz val="11"/>
        <color theme="1"/>
        <rFont val="Calibri"/>
        <family val="2"/>
        <scheme val="minor"/>
      </rPr>
      <t xml:space="preserve"> labor should be listed in the General Business Overhead table on the FixedOverhead worksheet. </t>
    </r>
  </si>
  <si>
    <t>Enter the most appropriate interest rate or opportunity cost of capital in cell C4. Use an annual percentage rate that compounds once per year. If the investment in the greenhouse and equipment is mostly financed, you could use the rate for your loan. If the investment is not mostly financed, you could use the rate that you could earn from investing your capital in a best alternative.  In the Greenhouse &amp; Environmental Controls table, list items in whatever level of detail you'd like (either broken down in detail or lumped together as a package). For each item, enter the original cost (amount paid), the useful life (years) before the item must be replaced, any salvage value you expect to get from the item when you're done with it, and the portion of the original cost that you finance with a loan. The Capital Recovery column calculates automatically and includes annual depreciation and interest. Enter the annual amount of insurance, taxes &amp; fees, and fixed repairs you expect to pay each year for each item. For example, if you lump together the greenhouse structure and poly covering as one item, the average annual replacement cost for the poly would be treated as a fixed repair cost. If you list the greenhouse structure and poly covering as separate items, each would have a different original cost, use life, and capital recovery estimate. In that case, the replacement cost for the poly would not be listed as a fixed repair cost, because it would be captured in the capital recovery for the poly covering. If 0% is financed, the entire capital recovery estimate is treated as an annual noncash cost. If 100% is financed, the entire capital recovery estimate is treated as a cash cost. Insurance, taxes &amp; fees, and fixed repairs associated with each item are treated as annual cash costs.</t>
  </si>
  <si>
    <t>Follow the same instructions as for the Greenhouse &amp; Environmental Controls table above. Use this table for items such as the nutrient delivery system, trellis systems, spray equipment, tables, and durable supplies that last more than one year.</t>
  </si>
  <si>
    <t>In the General Farm Overhead table, list annual costs that are part of running a farm business that are mostly independent of the production of a particular crop. These may include office expenses, business services, selling/marketing costs, liability insurance, or business management not directly engaged in crop production. A land charge could also be included if the land is leased or if it is appropriate to include the opportunity cost of land. These costs may be entered as noncash costs (depreciation or opportunity costs) or as cash costs.</t>
  </si>
  <si>
    <t>In the Energy Rates table, you may enter the energy costs for different energy sources used in your operation. The values entered here are for reference only and are not included in any automatic calculations in this workbook.</t>
  </si>
  <si>
    <t>These costs are calculated automatically from information in other parts of this workbook.</t>
  </si>
  <si>
    <t>This information is calculated automatically from information in other parts of this workbook. The break-even price over total costs is the average selling price you need, assuming expected yields, in order to cover all costs included in the budget.</t>
  </si>
  <si>
    <t>This partial budget template provides a framework for you to evaluate small changes to your operation.</t>
  </si>
  <si>
    <t>This 10-year investment analysis calculates the payback period, internal rate of return, and net present value for the greenhouse investment. Enter an expected annual inflation rate in cell C7. A 2% annual inflation rate has been common in the U.S.  Enter an annual risk-free discount rate in cell C8, which should reflect the annual percentage yield you could obtain on a risk-free investment (e.g., a 10-year Treasury note). Then enter a risk premium in cell C9. The risk premium should reflect the amount of risk in the greenhouse investment. The risk-adjusted discount rate sums the risk-free discount rate with the risk premium to make it comparable to expected rates of return on riskier investments. Other fields in this worksheet calculate automatically based on this discount rate and other information in the budget. The payback period, internal rate of return, and net present value of the investment in greenhouse and equipment are shown in cells C29, C30, and C31.</t>
  </si>
  <si>
    <t xml:space="preserve">List harvesting and packing materials in the Packing Materials table. Enter the unit of purchase, the cost per unit, and the number of units (quantity) needed for crop production in one year. The annual cost will calculate automatically. </t>
  </si>
  <si>
    <t>The tables in this MaterialsDetail worksheet should include materials only. Do not include capital goods that last more than one year. Those should be listed in the FixedOverhead worksheet. The Transplant Production Materials table could include seeds, disposable tray liners, germination mix, etc. Enter the item name, unit of purchase, the cost per unit, and the number of units (quantity) used for your transplant production in one year. If you purchase transplants, list the transplant cost as a row in this table. Annual cost will calculate automatically.</t>
  </si>
  <si>
    <t>Numbers can be entered in yellow cells.</t>
  </si>
  <si>
    <t>Green cells will calculate automatically.</t>
  </si>
  <si>
    <t>In the Equipment Operating Costs table, list the equipment items that require a power source to run. For each item, estimate the average electricity cost per week in operation. Also, estimate the average fuel cost per week and average repair cost per week in operation. Then estimate the number of weeks in operation for each item. For example, if propane costs $2.00/gallon and your greenhouse heaters draw 1 gallon of propane per hour and run for an average of 50 hours in an operating week, your Fuel Cost/Week would be $100. If you expect to need to run the heaters for 10 weeks each year, enter 10 in the Operating Weeks column. If you expect to pay $150 for repairs on the heaters each year, enter $15 (150 divided by 10 weeks) as the Repair Cost/Week. The numbers in the bottom row under Electricity, Fuel, and Repair Cost/Week are the annual cost for Electricity, Fuel, and Repairs.</t>
  </si>
  <si>
    <t>Text can be entered in light blue cells.</t>
  </si>
  <si>
    <t>This information is calculated automatically from information in other parts of this workbook. The break-even yield over total costs is the annual sales quantity (in market/sales units) needed to cover all costs included in the budget (assuming expected price). Here, variable costs include all variable operating costs, not only harvesting and packing costs that vary with yield.</t>
  </si>
  <si>
    <t>This information is calculated automatically from information in other parts of this workbook. The harvesting &amp; packing cost per sales unit is the average variable cost for variations in yield, harvest, and packing only. If these costs are set up in the MaterialsDetail and LaborDetail to vary with yield, harvesting &amp; packing cost per sales unit will stay constant as yield estimates are changed.</t>
  </si>
  <si>
    <t>HYDROPONIC BUDGET TEMPLATE</t>
  </si>
  <si>
    <t>Created by Kevin Athearn</t>
  </si>
  <si>
    <t>This budget template provides a framework to estimate production costs and assess the profitability for a single crop grown hydroponically in a greenhouse or other protective structure. This Excel workbook contains several worksheets (worksheet tabs are shown at the bottom of the window). Use the right or left arrow in the lower left corner of the window to reveal worksheet tabs that may be hidden from view. For each worksheet, enter numerical values in the yellow cells, and the green cells will calculate automatically. You can enter text in the light blue cells. Additional instructions are provided to the right of each worksheet table.</t>
  </si>
  <si>
    <r>
      <t xml:space="preserve">For questions about this budget template, please contact Kevin Athearn at </t>
    </r>
    <r>
      <rPr>
        <u/>
        <sz val="11"/>
        <color theme="1"/>
        <rFont val="Calibri"/>
        <family val="2"/>
        <scheme val="minor"/>
      </rPr>
      <t>athearn@ufl.edu</t>
    </r>
    <r>
      <rPr>
        <sz val="11"/>
        <color theme="1"/>
        <rFont val="Calibri"/>
        <family val="2"/>
        <scheme val="minor"/>
      </rPr>
      <t>.</t>
    </r>
  </si>
  <si>
    <t>Enter possible average selling prices in the 5 column headings (yellow cells across the top). Enter possible annual sales quantities (in market/sales units) for the 5 row labels (yellow cells on the left side of the table. Make sure the price unit and quantity unit are the same. The annual net return above total costs will calculate automatically, using the information you 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</si>
</sst>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
    <numFmt numFmtId="165" formatCode="&quot;$&quot;#,##0"/>
    <numFmt numFmtId="166" formatCode="&quot;$&quot;#,##0.00"/>
    <numFmt numFmtId="167" formatCode="0.0"/>
    <numFmt numFmtId="168" formatCode="0.0000"/>
  </numFmts>
  <fonts count="14"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sz val="11"/>
      <color theme="0" tint="-0.14999847407452621"/>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sz val="11"/>
      <color rgb="FF5B89B4"/>
      <name val="Calibri"/>
      <family val="2"/>
      <scheme val="minor"/>
    </font>
    <font>
      <sz val="10"/>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FFEBC6"/>
        <bgColor indexed="64"/>
      </patternFill>
    </fill>
    <fill>
      <patternFill patternType="solid">
        <fgColor theme="0"/>
        <bgColor indexed="64"/>
      </patternFill>
    </fill>
    <fill>
      <patternFill patternType="solid">
        <fgColor rgb="FF5B89B4"/>
        <bgColor indexed="64"/>
      </patternFill>
    </fill>
    <fill>
      <patternFill patternType="solid">
        <fgColor rgb="FFC5D3C0"/>
        <bgColor indexed="64"/>
      </patternFill>
    </fill>
    <fill>
      <patternFill patternType="solid">
        <fgColor theme="0" tint="-0.14999847407452621"/>
        <bgColor indexed="64"/>
      </patternFill>
    </fill>
    <fill>
      <patternFill patternType="solid">
        <fgColor theme="8" tint="0.79998168889431442"/>
        <bgColor indexed="64"/>
      </patternFill>
    </fill>
  </fills>
  <borders count="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rgb="FFD87C38"/>
      </top>
      <bottom style="thin">
        <color indexed="64"/>
      </bottom>
      <diagonal/>
    </border>
    <border>
      <left/>
      <right/>
      <top style="medium">
        <color rgb="FFD87C38"/>
      </top>
      <bottom style="thin">
        <color indexed="64"/>
      </bottom>
      <diagonal/>
    </border>
    <border>
      <left/>
      <right style="thin">
        <color indexed="64"/>
      </right>
      <top style="thin">
        <color indexed="64"/>
      </top>
      <bottom style="thin">
        <color indexed="64"/>
      </bottom>
      <diagonal/>
    </border>
    <border>
      <left/>
      <right/>
      <top style="medium">
        <color rgb="FFD87C38"/>
      </top>
      <bottom/>
      <diagonal/>
    </border>
    <border>
      <left style="thin">
        <color indexed="64"/>
      </left>
      <right/>
      <top style="medium">
        <color rgb="FFD87C3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style="medium">
        <color rgb="FFD87C38"/>
      </top>
      <bottom style="thin">
        <color indexed="64"/>
      </bottom>
      <diagonal/>
    </border>
    <border>
      <left/>
      <right style="thin">
        <color indexed="64"/>
      </right>
      <top style="medium">
        <color rgb="FFD87C38"/>
      </top>
      <bottom/>
      <diagonal/>
    </border>
    <border>
      <left/>
      <right/>
      <top/>
      <bottom style="medium">
        <color rgb="FFD87C38"/>
      </bottom>
      <diagonal/>
    </border>
    <border>
      <left/>
      <right/>
      <top style="thin">
        <color indexed="64"/>
      </top>
      <bottom style="medium">
        <color rgb="FFD87C38"/>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0">
    <xf numFmtId="0" fontId="0" fillId="0" borderId="0" xfId="0"/>
    <xf numFmtId="0" fontId="1" fillId="0" borderId="0" xfId="0" applyFont="1"/>
    <xf numFmtId="0" fontId="0" fillId="0" borderId="0" xfId="0" applyFont="1"/>
    <xf numFmtId="0" fontId="0" fillId="0" borderId="1" xfId="0" applyBorder="1"/>
    <xf numFmtId="0" fontId="3" fillId="3" borderId="3" xfId="0" applyFont="1" applyFill="1" applyBorder="1" applyAlignment="1">
      <alignment horizontal="right" wrapText="1"/>
    </xf>
    <xf numFmtId="0" fontId="0" fillId="0" borderId="3" xfId="0" applyBorder="1"/>
    <xf numFmtId="0" fontId="1" fillId="0" borderId="3" xfId="0" applyFont="1" applyBorder="1" applyAlignment="1">
      <alignment horizontal="center"/>
    </xf>
    <xf numFmtId="0" fontId="3" fillId="3" borderId="9" xfId="0" applyFont="1" applyFill="1" applyBorder="1" applyAlignment="1">
      <alignment wrapText="1"/>
    </xf>
    <xf numFmtId="0" fontId="3" fillId="3" borderId="9" xfId="0" applyFont="1" applyFill="1" applyBorder="1" applyAlignment="1">
      <alignment horizontal="right" wrapText="1"/>
    </xf>
    <xf numFmtId="165" fontId="0" fillId="5" borderId="3" xfId="0" applyNumberFormat="1" applyFill="1" applyBorder="1"/>
    <xf numFmtId="0" fontId="0" fillId="5" borderId="6" xfId="0" applyFill="1" applyBorder="1"/>
    <xf numFmtId="0" fontId="0" fillId="5" borderId="2" xfId="0" applyFill="1" applyBorder="1"/>
    <xf numFmtId="0" fontId="0" fillId="5" borderId="1" xfId="0" applyFill="1" applyBorder="1"/>
    <xf numFmtId="0" fontId="0" fillId="0" borderId="0" xfId="0" applyNumberFormat="1"/>
    <xf numFmtId="0" fontId="2" fillId="3" borderId="1" xfId="0" applyFont="1" applyFill="1" applyBorder="1" applyAlignment="1">
      <alignment wrapText="1"/>
    </xf>
    <xf numFmtId="0" fontId="1" fillId="0" borderId="3" xfId="0" applyFont="1" applyBorder="1" applyAlignment="1">
      <alignment horizontal="center"/>
    </xf>
    <xf numFmtId="0" fontId="1" fillId="0" borderId="3" xfId="0" applyFont="1" applyBorder="1"/>
    <xf numFmtId="0" fontId="1" fillId="0" borderId="2" xfId="0" applyFont="1" applyBorder="1"/>
    <xf numFmtId="0" fontId="0" fillId="0" borderId="0" xfId="0" applyBorder="1"/>
    <xf numFmtId="0" fontId="3" fillId="3" borderId="13" xfId="0" applyNumberFormat="1" applyFont="1" applyFill="1" applyBorder="1"/>
    <xf numFmtId="0" fontId="3" fillId="3" borderId="9" xfId="0" applyFont="1" applyFill="1" applyBorder="1"/>
    <xf numFmtId="0" fontId="3" fillId="3" borderId="14" xfId="0" applyFont="1" applyFill="1" applyBorder="1"/>
    <xf numFmtId="0" fontId="0" fillId="3" borderId="6" xfId="0" applyFill="1" applyBorder="1"/>
    <xf numFmtId="0" fontId="0" fillId="3" borderId="3" xfId="0" applyFill="1" applyBorder="1"/>
    <xf numFmtId="0" fontId="0" fillId="3" borderId="10" xfId="0" applyFill="1" applyBorder="1"/>
    <xf numFmtId="0" fontId="3" fillId="3" borderId="2" xfId="0" applyFont="1" applyFill="1" applyBorder="1" applyAlignment="1">
      <alignment wrapText="1"/>
    </xf>
    <xf numFmtId="0" fontId="0" fillId="5" borderId="3" xfId="0" applyFill="1" applyBorder="1"/>
    <xf numFmtId="0" fontId="0" fillId="5" borderId="19" xfId="0" applyFill="1" applyBorder="1"/>
    <xf numFmtId="0" fontId="3" fillId="3" borderId="13" xfId="0" applyFont="1" applyFill="1" applyBorder="1"/>
    <xf numFmtId="166" fontId="0" fillId="5" borderId="2" xfId="0" applyNumberFormat="1" applyFill="1" applyBorder="1"/>
    <xf numFmtId="0" fontId="0" fillId="3" borderId="19" xfId="0" applyFill="1" applyBorder="1"/>
    <xf numFmtId="166" fontId="0" fillId="5" borderId="17" xfId="0" applyNumberFormat="1" applyFill="1" applyBorder="1"/>
    <xf numFmtId="0" fontId="3" fillId="3" borderId="3" xfId="0" applyFont="1" applyFill="1" applyBorder="1"/>
    <xf numFmtId="0" fontId="0" fillId="5" borderId="2" xfId="0" applyFont="1" applyFill="1" applyBorder="1"/>
    <xf numFmtId="0" fontId="0" fillId="0" borderId="0" xfId="0" applyAlignment="1">
      <alignment horizontal="left" vertical="top" wrapText="1"/>
    </xf>
    <xf numFmtId="0" fontId="1" fillId="0" borderId="3" xfId="0" applyFont="1" applyBorder="1" applyAlignment="1">
      <alignment horizontal="right"/>
    </xf>
    <xf numFmtId="0" fontId="4" fillId="3" borderId="13" xfId="0" applyFont="1" applyFill="1" applyBorder="1"/>
    <xf numFmtId="0" fontId="3" fillId="3" borderId="9" xfId="0" applyFont="1" applyFill="1" applyBorder="1" applyAlignment="1">
      <alignment horizontal="right"/>
    </xf>
    <xf numFmtId="0" fontId="3" fillId="3" borderId="14" xfId="0" applyFont="1" applyFill="1" applyBorder="1" applyAlignment="1">
      <alignment horizontal="right"/>
    </xf>
    <xf numFmtId="0" fontId="0" fillId="5" borderId="10" xfId="0" applyFill="1" applyBorder="1"/>
    <xf numFmtId="1" fontId="0" fillId="5" borderId="3" xfId="0" applyNumberFormat="1" applyFill="1" applyBorder="1"/>
    <xf numFmtId="1" fontId="0" fillId="5" borderId="10" xfId="0" applyNumberFormat="1" applyFill="1" applyBorder="1"/>
    <xf numFmtId="3" fontId="0" fillId="5" borderId="2" xfId="0" applyNumberFormat="1" applyFill="1" applyBorder="1"/>
    <xf numFmtId="3" fontId="0" fillId="5" borderId="17" xfId="0" applyNumberFormat="1" applyFill="1" applyBorder="1"/>
    <xf numFmtId="0" fontId="2" fillId="0" borderId="0" xfId="0" applyFont="1" applyFill="1" applyBorder="1"/>
    <xf numFmtId="3" fontId="0" fillId="5" borderId="3" xfId="0" applyNumberFormat="1" applyFill="1" applyBorder="1"/>
    <xf numFmtId="168" fontId="0" fillId="5" borderId="3" xfId="0" applyNumberFormat="1" applyFill="1" applyBorder="1"/>
    <xf numFmtId="0" fontId="3" fillId="3" borderId="3" xfId="0" applyFont="1" applyFill="1" applyBorder="1" applyAlignment="1">
      <alignment horizontal="right"/>
    </xf>
    <xf numFmtId="0" fontId="1" fillId="0" borderId="0" xfId="0" applyFont="1"/>
    <xf numFmtId="0" fontId="0" fillId="0" borderId="0" xfId="0"/>
    <xf numFmtId="165" fontId="1" fillId="5" borderId="3" xfId="0" applyNumberFormat="1" applyFont="1" applyFill="1" applyBorder="1"/>
    <xf numFmtId="0" fontId="0" fillId="0" borderId="2" xfId="0" applyBorder="1"/>
    <xf numFmtId="0" fontId="1" fillId="0" borderId="3" xfId="0" applyFont="1" applyBorder="1"/>
    <xf numFmtId="0" fontId="0" fillId="0" borderId="3" xfId="0" applyBorder="1"/>
    <xf numFmtId="0" fontId="0" fillId="0" borderId="3" xfId="0" applyFont="1" applyBorder="1"/>
    <xf numFmtId="0" fontId="0" fillId="0" borderId="9" xfId="0" applyBorder="1"/>
    <xf numFmtId="0" fontId="0" fillId="0" borderId="24" xfId="0" applyBorder="1"/>
    <xf numFmtId="0" fontId="1" fillId="0" borderId="9" xfId="0" applyFont="1" applyBorder="1"/>
    <xf numFmtId="0" fontId="1" fillId="0" borderId="9" xfId="0" applyFont="1" applyBorder="1" applyAlignment="1">
      <alignment horizontal="right"/>
    </xf>
    <xf numFmtId="0" fontId="0" fillId="5" borderId="1" xfId="0" applyFill="1" applyBorder="1"/>
    <xf numFmtId="0" fontId="0" fillId="5" borderId="6" xfId="0" applyFill="1" applyBorder="1"/>
    <xf numFmtId="3" fontId="0" fillId="5" borderId="3" xfId="0" applyNumberFormat="1" applyFill="1" applyBorder="1" applyAlignment="1">
      <alignment horizontal="center"/>
    </xf>
    <xf numFmtId="0" fontId="0" fillId="5" borderId="3" xfId="0" applyFill="1" applyBorder="1" applyAlignment="1">
      <alignment horizontal="center"/>
    </xf>
    <xf numFmtId="166" fontId="0" fillId="5" borderId="3" xfId="0" applyNumberFormat="1" applyFill="1" applyBorder="1" applyAlignment="1">
      <alignment horizontal="center"/>
    </xf>
    <xf numFmtId="165" fontId="0" fillId="5" borderId="3" xfId="0" applyNumberFormat="1" applyFill="1" applyBorder="1" applyAlignment="1">
      <alignment horizontal="right"/>
    </xf>
    <xf numFmtId="165" fontId="0" fillId="5" borderId="3" xfId="0" applyNumberFormat="1" applyFont="1" applyFill="1" applyBorder="1" applyAlignment="1">
      <alignment horizontal="right"/>
    </xf>
    <xf numFmtId="165" fontId="0" fillId="5" borderId="24" xfId="0" applyNumberFormat="1" applyFill="1" applyBorder="1"/>
    <xf numFmtId="165" fontId="0" fillId="5" borderId="9" xfId="0" applyNumberFormat="1" applyFill="1" applyBorder="1"/>
    <xf numFmtId="0" fontId="0" fillId="0" borderId="17" xfId="0" applyBorder="1"/>
    <xf numFmtId="0" fontId="0" fillId="0" borderId="18" xfId="0" applyBorder="1"/>
    <xf numFmtId="0" fontId="0" fillId="0" borderId="14" xfId="0" applyBorder="1"/>
    <xf numFmtId="0" fontId="0" fillId="0" borderId="12" xfId="0" applyBorder="1"/>
    <xf numFmtId="165" fontId="0" fillId="0" borderId="0" xfId="0" applyNumberFormat="1"/>
    <xf numFmtId="166" fontId="0" fillId="0" borderId="0" xfId="0" applyNumberFormat="1"/>
    <xf numFmtId="166" fontId="0" fillId="5" borderId="3" xfId="0" applyNumberFormat="1" applyFill="1" applyBorder="1"/>
    <xf numFmtId="6" fontId="0" fillId="5" borderId="3" xfId="0" applyNumberFormat="1" applyFill="1" applyBorder="1"/>
    <xf numFmtId="0" fontId="10" fillId="0" borderId="12" xfId="0" applyFont="1" applyBorder="1"/>
    <xf numFmtId="0" fontId="0" fillId="0" borderId="0" xfId="0" applyAlignment="1">
      <alignment vertical="top" wrapText="1"/>
    </xf>
    <xf numFmtId="166" fontId="0" fillId="5" borderId="2" xfId="0" applyNumberFormat="1" applyFill="1" applyBorder="1" applyAlignment="1">
      <alignment horizontal="right"/>
    </xf>
    <xf numFmtId="166" fontId="0" fillId="5" borderId="17" xfId="0" applyNumberFormat="1" applyFill="1" applyBorder="1" applyAlignment="1">
      <alignment horizontal="right"/>
    </xf>
    <xf numFmtId="0" fontId="0" fillId="5" borderId="17" xfId="0" applyFill="1" applyBorder="1"/>
    <xf numFmtId="0" fontId="0" fillId="5" borderId="11" xfId="0" applyFill="1" applyBorder="1"/>
    <xf numFmtId="0" fontId="0" fillId="5" borderId="10" xfId="0" applyFill="1" applyBorder="1" applyAlignment="1">
      <alignment horizontal="right"/>
    </xf>
    <xf numFmtId="0" fontId="1" fillId="3" borderId="25" xfId="0" applyFont="1" applyFill="1" applyBorder="1"/>
    <xf numFmtId="166" fontId="1" fillId="3" borderId="25" xfId="0" applyNumberFormat="1" applyFont="1" applyFill="1" applyBorder="1"/>
    <xf numFmtId="166" fontId="0" fillId="5" borderId="15" xfId="0" applyNumberFormat="1" applyFill="1" applyBorder="1" applyAlignment="1">
      <alignment horizontal="right"/>
    </xf>
    <xf numFmtId="166" fontId="0" fillId="5" borderId="16" xfId="0" applyNumberFormat="1" applyFill="1" applyBorder="1" applyAlignment="1">
      <alignment horizontal="right"/>
    </xf>
    <xf numFmtId="0" fontId="0" fillId="0" borderId="12" xfId="0" applyFont="1" applyBorder="1"/>
    <xf numFmtId="166" fontId="1" fillId="5" borderId="9" xfId="0" applyNumberFormat="1" applyFont="1" applyFill="1" applyBorder="1"/>
    <xf numFmtId="166" fontId="0" fillId="5" borderId="24" xfId="0" applyNumberFormat="1" applyFill="1" applyBorder="1"/>
    <xf numFmtId="0" fontId="0" fillId="6" borderId="34" xfId="0" applyFill="1" applyBorder="1"/>
    <xf numFmtId="0" fontId="0" fillId="0" borderId="27" xfId="0" applyFont="1" applyBorder="1"/>
    <xf numFmtId="0" fontId="0" fillId="0" borderId="27" xfId="0" applyBorder="1"/>
    <xf numFmtId="0" fontId="1" fillId="5" borderId="25" xfId="0" applyFont="1" applyFill="1" applyBorder="1"/>
    <xf numFmtId="0" fontId="0" fillId="5" borderId="25" xfId="0" applyFill="1" applyBorder="1"/>
    <xf numFmtId="0" fontId="0" fillId="0" borderId="0" xfId="0" applyFont="1" applyBorder="1"/>
    <xf numFmtId="165" fontId="0" fillId="5" borderId="2" xfId="0" applyNumberFormat="1" applyFill="1" applyBorder="1"/>
    <xf numFmtId="165" fontId="0" fillId="5" borderId="10" xfId="0" applyNumberFormat="1" applyFill="1" applyBorder="1"/>
    <xf numFmtId="165" fontId="0" fillId="5" borderId="17" xfId="0" applyNumberFormat="1" applyFill="1" applyBorder="1"/>
    <xf numFmtId="0" fontId="0" fillId="0" borderId="25" xfId="0" applyBorder="1"/>
    <xf numFmtId="0" fontId="1" fillId="5" borderId="35" xfId="0" applyFont="1" applyFill="1" applyBorder="1"/>
    <xf numFmtId="166" fontId="1" fillId="5" borderId="35" xfId="0" applyNumberFormat="1" applyFont="1" applyFill="1" applyBorder="1"/>
    <xf numFmtId="166" fontId="1" fillId="5" borderId="27" xfId="0" applyNumberFormat="1" applyFont="1" applyFill="1" applyBorder="1"/>
    <xf numFmtId="166" fontId="1" fillId="5" borderId="36" xfId="0" applyNumberFormat="1" applyFont="1" applyFill="1" applyBorder="1"/>
    <xf numFmtId="0" fontId="3" fillId="3" borderId="13" xfId="0" applyFont="1" applyFill="1" applyBorder="1" applyAlignment="1">
      <alignment wrapText="1"/>
    </xf>
    <xf numFmtId="0" fontId="3" fillId="3" borderId="14" xfId="0" applyFont="1" applyFill="1" applyBorder="1" applyAlignment="1">
      <alignment horizontal="right" wrapText="1"/>
    </xf>
    <xf numFmtId="166" fontId="0" fillId="5" borderId="3" xfId="0" applyNumberFormat="1" applyFill="1" applyBorder="1" applyAlignment="1">
      <alignment horizontal="right"/>
    </xf>
    <xf numFmtId="0" fontId="3" fillId="3" borderId="13" xfId="0" applyFont="1" applyFill="1" applyBorder="1" applyAlignment="1">
      <alignment horizontal="right" wrapText="1"/>
    </xf>
    <xf numFmtId="0" fontId="2" fillId="3" borderId="6" xfId="0" applyFont="1" applyFill="1" applyBorder="1" applyAlignment="1">
      <alignment wrapText="1"/>
    </xf>
    <xf numFmtId="0" fontId="3" fillId="3" borderId="0" xfId="0" applyFont="1" applyFill="1" applyBorder="1"/>
    <xf numFmtId="166" fontId="3" fillId="3" borderId="13" xfId="0" applyNumberFormat="1" applyFont="1" applyFill="1" applyBorder="1" applyAlignment="1">
      <alignment horizontal="right"/>
    </xf>
    <xf numFmtId="166" fontId="3" fillId="3" borderId="9" xfId="0" applyNumberFormat="1" applyFont="1" applyFill="1" applyBorder="1" applyAlignment="1">
      <alignment horizontal="right"/>
    </xf>
    <xf numFmtId="0" fontId="2" fillId="3" borderId="15" xfId="0" applyFont="1" applyFill="1" applyBorder="1"/>
    <xf numFmtId="166" fontId="0" fillId="5" borderId="19" xfId="0" applyNumberFormat="1" applyFill="1" applyBorder="1" applyAlignment="1">
      <alignment horizontal="right"/>
    </xf>
    <xf numFmtId="166" fontId="0" fillId="5" borderId="10" xfId="0" applyNumberFormat="1" applyFill="1" applyBorder="1" applyAlignment="1">
      <alignment horizontal="right"/>
    </xf>
    <xf numFmtId="0" fontId="0" fillId="3" borderId="24" xfId="0" applyFill="1" applyBorder="1"/>
    <xf numFmtId="0" fontId="6" fillId="3" borderId="15" xfId="0" applyFont="1" applyFill="1" applyBorder="1"/>
    <xf numFmtId="165" fontId="0" fillId="5" borderId="19" xfId="0" applyNumberFormat="1" applyFill="1" applyBorder="1"/>
    <xf numFmtId="6" fontId="1" fillId="5" borderId="25" xfId="0" applyNumberFormat="1" applyFont="1" applyFill="1" applyBorder="1"/>
    <xf numFmtId="6" fontId="1" fillId="5" borderId="28" xfId="0" applyNumberFormat="1" applyFont="1" applyFill="1" applyBorder="1"/>
    <xf numFmtId="6" fontId="1" fillId="5" borderId="29" xfId="0" applyNumberFormat="1" applyFont="1" applyFill="1" applyBorder="1"/>
    <xf numFmtId="6" fontId="1" fillId="5" borderId="34" xfId="0" applyNumberFormat="1" applyFont="1" applyFill="1" applyBorder="1"/>
    <xf numFmtId="6" fontId="1" fillId="5" borderId="36" xfId="0" applyNumberFormat="1" applyFont="1" applyFill="1" applyBorder="1"/>
    <xf numFmtId="0" fontId="1" fillId="0" borderId="3" xfId="0" applyFont="1" applyBorder="1" applyAlignment="1">
      <alignment horizontal="right" wrapText="1"/>
    </xf>
    <xf numFmtId="0" fontId="0" fillId="0" borderId="9" xfId="0" applyFill="1" applyBorder="1"/>
    <xf numFmtId="165" fontId="0" fillId="5" borderId="9" xfId="0" applyNumberFormat="1" applyFill="1" applyBorder="1" applyAlignment="1">
      <alignment horizontal="right"/>
    </xf>
    <xf numFmtId="165" fontId="0" fillId="5" borderId="24" xfId="0" applyNumberFormat="1" applyFill="1" applyBorder="1" applyAlignment="1">
      <alignment horizontal="right"/>
    </xf>
    <xf numFmtId="0" fontId="0" fillId="5" borderId="9" xfId="0" applyFill="1" applyBorder="1"/>
    <xf numFmtId="9" fontId="0" fillId="5" borderId="3" xfId="0" applyNumberFormat="1" applyFill="1" applyBorder="1"/>
    <xf numFmtId="6" fontId="1" fillId="5" borderId="37" xfId="0" applyNumberFormat="1" applyFont="1" applyFill="1" applyBorder="1"/>
    <xf numFmtId="0" fontId="0" fillId="5" borderId="1" xfId="0" applyFill="1" applyBorder="1"/>
    <xf numFmtId="0" fontId="0" fillId="5" borderId="6" xfId="0" applyFill="1" applyBorder="1"/>
    <xf numFmtId="165" fontId="0" fillId="5" borderId="3" xfId="0" applyNumberFormat="1" applyFont="1" applyFill="1" applyBorder="1"/>
    <xf numFmtId="0" fontId="0" fillId="0" borderId="0" xfId="0"/>
    <xf numFmtId="0" fontId="1" fillId="0" borderId="0" xfId="0" applyFont="1"/>
    <xf numFmtId="0" fontId="0" fillId="0" borderId="3" xfId="0" applyFont="1" applyBorder="1"/>
    <xf numFmtId="0" fontId="0" fillId="0" borderId="0" xfId="0"/>
    <xf numFmtId="0" fontId="0" fillId="5" borderId="1" xfId="0" applyFill="1" applyBorder="1"/>
    <xf numFmtId="0" fontId="0" fillId="5" borderId="6" xfId="0" applyFill="1" applyBorder="1"/>
    <xf numFmtId="0" fontId="1" fillId="0" borderId="0" xfId="0" applyFont="1"/>
    <xf numFmtId="0" fontId="0" fillId="0" borderId="0" xfId="0"/>
    <xf numFmtId="0" fontId="1" fillId="0" borderId="0" xfId="0" applyFont="1" applyBorder="1"/>
    <xf numFmtId="0" fontId="0" fillId="0" borderId="0" xfId="0" applyAlignment="1">
      <alignment vertical="top" wrapText="1"/>
    </xf>
    <xf numFmtId="165" fontId="4" fillId="5" borderId="2" xfId="0" applyNumberFormat="1" applyFont="1" applyFill="1" applyBorder="1"/>
    <xf numFmtId="165" fontId="4" fillId="5" borderId="17" xfId="0" applyNumberFormat="1" applyFont="1" applyFill="1" applyBorder="1"/>
    <xf numFmtId="0" fontId="0" fillId="5" borderId="24" xfId="0" applyFill="1" applyBorder="1"/>
    <xf numFmtId="165" fontId="1" fillId="6" borderId="3" xfId="0" applyNumberFormat="1" applyFont="1" applyFill="1" applyBorder="1" applyAlignment="1">
      <alignment horizontal="right"/>
    </xf>
    <xf numFmtId="165" fontId="0" fillId="6" borderId="3" xfId="0" applyNumberFormat="1" applyFill="1" applyBorder="1"/>
    <xf numFmtId="165" fontId="0" fillId="6" borderId="24" xfId="0" applyNumberFormat="1" applyFill="1" applyBorder="1"/>
    <xf numFmtId="0" fontId="0" fillId="6" borderId="3" xfId="0" applyFill="1" applyBorder="1"/>
    <xf numFmtId="1" fontId="4" fillId="5" borderId="17" xfId="0" applyNumberFormat="1" applyFont="1" applyFill="1" applyBorder="1"/>
    <xf numFmtId="0" fontId="0" fillId="6" borderId="10" xfId="0" applyFill="1" applyBorder="1"/>
    <xf numFmtId="0" fontId="5" fillId="6" borderId="3" xfId="0" applyFont="1" applyFill="1" applyBorder="1"/>
    <xf numFmtId="3" fontId="0" fillId="5" borderId="6" xfId="0" applyNumberFormat="1" applyFill="1" applyBorder="1"/>
    <xf numFmtId="1" fontId="4" fillId="5" borderId="2" xfId="0" applyNumberFormat="1" applyFont="1" applyFill="1" applyBorder="1"/>
    <xf numFmtId="166" fontId="0" fillId="5" borderId="3" xfId="0" applyNumberFormat="1" applyFill="1" applyBorder="1" applyAlignment="1">
      <alignment horizontal="right" wrapText="1"/>
    </xf>
    <xf numFmtId="0" fontId="0" fillId="0" borderId="0" xfId="0" applyBorder="1" applyAlignment="1">
      <alignment vertical="top" wrapText="1"/>
    </xf>
    <xf numFmtId="0" fontId="0" fillId="0" borderId="0" xfId="0" applyBorder="1" applyAlignment="1">
      <alignment vertical="top"/>
    </xf>
    <xf numFmtId="0" fontId="0" fillId="5" borderId="1" xfId="0" applyFont="1" applyFill="1" applyBorder="1"/>
    <xf numFmtId="0" fontId="0" fillId="5" borderId="10" xfId="0" applyNumberFormat="1" applyFill="1" applyBorder="1"/>
    <xf numFmtId="165" fontId="1" fillId="5" borderId="37" xfId="0" applyNumberFormat="1" applyFont="1" applyFill="1" applyBorder="1"/>
    <xf numFmtId="1" fontId="4" fillId="5" borderId="19" xfId="0" applyNumberFormat="1" applyFont="1" applyFill="1" applyBorder="1"/>
    <xf numFmtId="0" fontId="4" fillId="5" borderId="2" xfId="0" applyFont="1" applyFill="1" applyBorder="1"/>
    <xf numFmtId="0" fontId="4" fillId="5" borderId="1" xfId="0" applyFont="1" applyFill="1" applyBorder="1"/>
    <xf numFmtId="166" fontId="4" fillId="5" borderId="1" xfId="0" applyNumberFormat="1" applyFont="1" applyFill="1" applyBorder="1"/>
    <xf numFmtId="1" fontId="4" fillId="5" borderId="6" xfId="0" applyNumberFormat="1" applyFont="1" applyFill="1" applyBorder="1"/>
    <xf numFmtId="164" fontId="0" fillId="5" borderId="13" xfId="0" applyNumberFormat="1" applyFill="1" applyBorder="1"/>
    <xf numFmtId="0" fontId="0" fillId="0" borderId="0" xfId="0"/>
    <xf numFmtId="0" fontId="0" fillId="0" borderId="0" xfId="0" applyAlignment="1">
      <alignment vertical="top" wrapText="1"/>
    </xf>
    <xf numFmtId="0" fontId="0" fillId="0" borderId="0" xfId="0" applyAlignment="1">
      <alignment vertical="top" wrapText="1"/>
    </xf>
    <xf numFmtId="0" fontId="0" fillId="5" borderId="1" xfId="0" applyFill="1" applyBorder="1"/>
    <xf numFmtId="0" fontId="0" fillId="5" borderId="6" xfId="0" applyFill="1" applyBorder="1"/>
    <xf numFmtId="0" fontId="0" fillId="0" borderId="0" xfId="0" applyFill="1"/>
    <xf numFmtId="0" fontId="1" fillId="0" borderId="0" xfId="0" applyFont="1" applyProtection="1">
      <protection locked="0"/>
    </xf>
    <xf numFmtId="164" fontId="0" fillId="2" borderId="3" xfId="0" applyNumberFormat="1" applyFill="1" applyBorder="1" applyProtection="1">
      <protection locked="0"/>
    </xf>
    <xf numFmtId="3" fontId="0" fillId="2" borderId="3" xfId="0" applyNumberFormat="1" applyFill="1" applyBorder="1" applyProtection="1">
      <protection locked="0"/>
    </xf>
    <xf numFmtId="0" fontId="0" fillId="2" borderId="3" xfId="0" applyFill="1" applyBorder="1" applyProtection="1">
      <protection locked="0"/>
    </xf>
    <xf numFmtId="3" fontId="0" fillId="2" borderId="3" xfId="0" applyNumberFormat="1" applyFont="1" applyFill="1" applyBorder="1" applyProtection="1">
      <protection locked="0"/>
    </xf>
    <xf numFmtId="1" fontId="0" fillId="2" borderId="3" xfId="0" applyNumberFormat="1" applyFill="1" applyBorder="1" applyProtection="1">
      <protection locked="0"/>
    </xf>
    <xf numFmtId="3" fontId="0" fillId="2" borderId="10" xfId="0" applyNumberFormat="1" applyFill="1" applyBorder="1" applyProtection="1">
      <protection locked="0"/>
    </xf>
    <xf numFmtId="1" fontId="0" fillId="2" borderId="10" xfId="0" applyNumberFormat="1" applyFill="1" applyBorder="1" applyProtection="1">
      <protection locked="0"/>
    </xf>
    <xf numFmtId="9" fontId="0" fillId="2" borderId="3" xfId="0" applyNumberFormat="1" applyFont="1" applyFill="1" applyBorder="1" applyProtection="1">
      <protection locked="0"/>
    </xf>
    <xf numFmtId="166" fontId="0" fillId="2" borderId="3" xfId="0" applyNumberFormat="1" applyFill="1" applyBorder="1" applyProtection="1">
      <protection locked="0"/>
    </xf>
    <xf numFmtId="0" fontId="0" fillId="0" borderId="0" xfId="0" applyProtection="1">
      <protection locked="0"/>
    </xf>
    <xf numFmtId="0" fontId="0" fillId="7" borderId="3" xfId="0" applyFont="1" applyFill="1" applyBorder="1"/>
    <xf numFmtId="0" fontId="0" fillId="7" borderId="3" xfId="0" applyFill="1" applyBorder="1"/>
    <xf numFmtId="0" fontId="0" fillId="7" borderId="3" xfId="0" applyFont="1" applyFill="1" applyBorder="1" applyProtection="1">
      <protection locked="0"/>
    </xf>
    <xf numFmtId="3" fontId="0" fillId="7" borderId="3" xfId="0" applyNumberFormat="1" applyFill="1" applyBorder="1" applyProtection="1">
      <protection locked="0"/>
    </xf>
    <xf numFmtId="0" fontId="0" fillId="7" borderId="3" xfId="0" applyFill="1" applyBorder="1" applyProtection="1">
      <protection locked="0"/>
    </xf>
    <xf numFmtId="0" fontId="0" fillId="2" borderId="3" xfId="0" applyFont="1" applyFill="1" applyBorder="1" applyProtection="1">
      <protection locked="0"/>
    </xf>
    <xf numFmtId="0" fontId="0" fillId="0" borderId="0" xfId="0" applyBorder="1" applyAlignment="1" applyProtection="1">
      <alignment vertical="top"/>
      <protection locked="0"/>
    </xf>
    <xf numFmtId="0" fontId="0" fillId="3" borderId="6" xfId="0" applyFill="1" applyBorder="1" applyProtection="1">
      <protection locked="0"/>
    </xf>
    <xf numFmtId="0" fontId="0" fillId="3" borderId="19" xfId="0" applyFill="1" applyBorder="1" applyProtection="1">
      <protection locked="0"/>
    </xf>
    <xf numFmtId="0" fontId="0" fillId="7" borderId="6" xfId="0" applyFill="1" applyBorder="1" applyProtection="1">
      <protection locked="0"/>
    </xf>
    <xf numFmtId="0" fontId="0" fillId="7" borderId="19" xfId="0" applyFill="1" applyBorder="1" applyProtection="1">
      <protection locked="0"/>
    </xf>
    <xf numFmtId="0" fontId="0" fillId="7" borderId="10" xfId="0" applyFill="1" applyBorder="1"/>
    <xf numFmtId="0" fontId="0" fillId="7" borderId="10" xfId="0" applyFont="1" applyFill="1" applyBorder="1"/>
    <xf numFmtId="9" fontId="0" fillId="2" borderId="3" xfId="0" applyNumberFormat="1" applyFill="1" applyBorder="1" applyProtection="1">
      <protection locked="0"/>
    </xf>
    <xf numFmtId="166" fontId="0" fillId="2" borderId="10" xfId="0" applyNumberFormat="1" applyFill="1" applyBorder="1" applyProtection="1">
      <protection locked="0"/>
    </xf>
    <xf numFmtId="9" fontId="0" fillId="2" borderId="10" xfId="0" applyNumberFormat="1" applyFill="1" applyBorder="1" applyProtection="1">
      <protection locked="0"/>
    </xf>
    <xf numFmtId="0" fontId="0" fillId="7" borderId="10" xfId="0" applyFill="1" applyBorder="1" applyProtection="1">
      <protection locked="0"/>
    </xf>
    <xf numFmtId="167" fontId="0" fillId="2" borderId="3" xfId="0" applyNumberFormat="1" applyFill="1" applyBorder="1" applyProtection="1">
      <protection locked="0"/>
    </xf>
    <xf numFmtId="167" fontId="0" fillId="2" borderId="10" xfId="0" applyNumberFormat="1" applyFill="1" applyBorder="1" applyProtection="1">
      <protection locked="0"/>
    </xf>
    <xf numFmtId="166" fontId="4" fillId="2" borderId="3" xfId="0" applyNumberFormat="1" applyFont="1" applyFill="1" applyBorder="1" applyProtection="1">
      <protection locked="0"/>
    </xf>
    <xf numFmtId="1" fontId="4" fillId="2" borderId="3" xfId="0" applyNumberFormat="1" applyFont="1" applyFill="1" applyBorder="1" applyProtection="1">
      <protection locked="0"/>
    </xf>
    <xf numFmtId="166" fontId="4" fillId="2" borderId="10" xfId="0" applyNumberFormat="1" applyFont="1" applyFill="1" applyBorder="1" applyProtection="1">
      <protection locked="0"/>
    </xf>
    <xf numFmtId="1" fontId="4" fillId="2" borderId="10" xfId="0" applyNumberFormat="1" applyFont="1" applyFill="1" applyBorder="1" applyProtection="1">
      <protection locked="0"/>
    </xf>
    <xf numFmtId="0" fontId="0" fillId="0" borderId="0" xfId="0" applyBorder="1" applyAlignment="1" applyProtection="1">
      <alignment vertical="top" wrapText="1"/>
      <protection locked="0"/>
    </xf>
    <xf numFmtId="164" fontId="0" fillId="2" borderId="1" xfId="0" applyNumberFormat="1" applyFill="1" applyBorder="1" applyAlignment="1" applyProtection="1">
      <alignment horizontal="right"/>
      <protection locked="0"/>
    </xf>
    <xf numFmtId="165" fontId="0" fillId="2" borderId="3" xfId="0" applyNumberFormat="1" applyFill="1" applyBorder="1" applyProtection="1">
      <protection locked="0"/>
    </xf>
    <xf numFmtId="0" fontId="0" fillId="7" borderId="16" xfId="0" applyFill="1" applyBorder="1" applyProtection="1">
      <protection locked="0"/>
    </xf>
    <xf numFmtId="0" fontId="0" fillId="7" borderId="16" xfId="0" applyFont="1" applyFill="1" applyBorder="1" applyProtection="1">
      <protection locked="0"/>
    </xf>
    <xf numFmtId="0" fontId="0" fillId="7" borderId="18" xfId="0" applyFill="1" applyBorder="1" applyProtection="1">
      <protection locked="0"/>
    </xf>
    <xf numFmtId="0" fontId="0" fillId="7" borderId="0" xfId="0" applyFill="1" applyProtection="1">
      <protection locked="0"/>
    </xf>
    <xf numFmtId="166" fontId="0" fillId="2" borderId="2" xfId="0" applyNumberFormat="1" applyFill="1" applyBorder="1" applyProtection="1">
      <protection locked="0"/>
    </xf>
    <xf numFmtId="166" fontId="0" fillId="2" borderId="17" xfId="0" applyNumberFormat="1" applyFill="1" applyBorder="1" applyProtection="1">
      <protection locked="0"/>
    </xf>
    <xf numFmtId="0" fontId="0" fillId="7" borderId="19" xfId="0" applyNumberFormat="1" applyFill="1" applyBorder="1" applyProtection="1">
      <protection locked="0"/>
    </xf>
    <xf numFmtId="164" fontId="0" fillId="2" borderId="19" xfId="0" applyNumberFormat="1" applyFill="1" applyBorder="1" applyProtection="1">
      <protection locked="0"/>
    </xf>
    <xf numFmtId="164" fontId="0" fillId="2" borderId="15" xfId="0" applyNumberFormat="1" applyFill="1" applyBorder="1" applyProtection="1">
      <protection locked="0"/>
    </xf>
    <xf numFmtId="0" fontId="0" fillId="2" borderId="3" xfId="0" applyFill="1" applyBorder="1" applyAlignment="1" applyProtection="1">
      <alignment horizontal="right"/>
      <protection locked="0"/>
    </xf>
    <xf numFmtId="166" fontId="0" fillId="2" borderId="3" xfId="0" applyNumberFormat="1" applyFill="1" applyBorder="1" applyAlignment="1" applyProtection="1">
      <alignment horizontal="right"/>
      <protection locked="0"/>
    </xf>
    <xf numFmtId="0" fontId="0" fillId="2" borderId="10" xfId="0" applyFill="1" applyBorder="1" applyAlignment="1" applyProtection="1">
      <alignment horizontal="right"/>
      <protection locked="0"/>
    </xf>
    <xf numFmtId="166" fontId="0" fillId="2" borderId="10" xfId="0" applyNumberFormat="1" applyFill="1" applyBorder="1" applyAlignment="1" applyProtection="1">
      <alignment horizontal="right"/>
      <protection locked="0"/>
    </xf>
    <xf numFmtId="0" fontId="0" fillId="3" borderId="17" xfId="0" applyFill="1" applyBorder="1" applyProtection="1">
      <protection locked="0"/>
    </xf>
    <xf numFmtId="166" fontId="0" fillId="2" borderId="6" xfId="0" applyNumberFormat="1" applyFill="1" applyBorder="1" applyAlignment="1" applyProtection="1">
      <alignment horizontal="right"/>
      <protection locked="0"/>
    </xf>
    <xf numFmtId="0" fontId="0" fillId="3" borderId="11" xfId="0" applyFill="1" applyBorder="1" applyProtection="1">
      <protection locked="0"/>
    </xf>
    <xf numFmtId="0" fontId="4" fillId="3" borderId="1" xfId="0" applyFont="1" applyFill="1" applyBorder="1" applyAlignment="1" applyProtection="1">
      <alignment wrapText="1"/>
      <protection locked="0"/>
    </xf>
    <xf numFmtId="0" fontId="11" fillId="3" borderId="6" xfId="0" applyFont="1" applyFill="1" applyBorder="1" applyAlignment="1" applyProtection="1">
      <alignment wrapText="1"/>
      <protection locked="0"/>
    </xf>
    <xf numFmtId="0" fontId="0" fillId="2" borderId="6" xfId="0" applyFill="1" applyBorder="1" applyAlignment="1" applyProtection="1">
      <alignment horizontal="right" wrapText="1"/>
      <protection locked="0"/>
    </xf>
    <xf numFmtId="0" fontId="0" fillId="2" borderId="3" xfId="0" applyFill="1" applyBorder="1" applyAlignment="1" applyProtection="1">
      <alignment horizontal="right" wrapText="1"/>
      <protection locked="0"/>
    </xf>
    <xf numFmtId="0" fontId="0" fillId="3" borderId="0" xfId="0" applyFont="1" applyFill="1" applyBorder="1" applyProtection="1">
      <protection locked="0"/>
    </xf>
    <xf numFmtId="0" fontId="0" fillId="3" borderId="15" xfId="0" applyFill="1" applyBorder="1" applyProtection="1">
      <protection locked="0"/>
    </xf>
    <xf numFmtId="0" fontId="0" fillId="3" borderId="11" xfId="0" applyFont="1" applyFill="1" applyBorder="1" applyProtection="1">
      <protection locked="0"/>
    </xf>
    <xf numFmtId="0" fontId="0" fillId="3" borderId="1" xfId="0" applyFont="1" applyFill="1" applyBorder="1" applyProtection="1">
      <protection locked="0"/>
    </xf>
    <xf numFmtId="166" fontId="0" fillId="2" borderId="15" xfId="0" applyNumberFormat="1" applyFill="1" applyBorder="1" applyAlignment="1" applyProtection="1">
      <alignment horizontal="right"/>
      <protection locked="0"/>
    </xf>
    <xf numFmtId="166" fontId="0" fillId="2" borderId="16" xfId="0" applyNumberFormat="1" applyFill="1" applyBorder="1" applyAlignment="1" applyProtection="1">
      <alignment horizontal="right"/>
      <protection locked="0"/>
    </xf>
    <xf numFmtId="10" fontId="0" fillId="2" borderId="24" xfId="0" applyNumberFormat="1" applyFill="1" applyBorder="1" applyProtection="1">
      <protection locked="0"/>
    </xf>
    <xf numFmtId="0" fontId="0" fillId="2" borderId="3" xfId="0" applyNumberFormat="1" applyFill="1" applyBorder="1" applyProtection="1">
      <protection locked="0"/>
    </xf>
    <xf numFmtId="0" fontId="0" fillId="7" borderId="19" xfId="0" applyFont="1" applyFill="1" applyBorder="1" applyProtection="1">
      <protection locked="0"/>
    </xf>
    <xf numFmtId="165" fontId="0" fillId="2" borderId="10" xfId="0" applyNumberFormat="1" applyFill="1" applyBorder="1" applyProtection="1">
      <protection locked="0"/>
    </xf>
    <xf numFmtId="0" fontId="0" fillId="2" borderId="10" xfId="0" applyNumberFormat="1" applyFill="1" applyBorder="1" applyProtection="1">
      <protection locked="0"/>
    </xf>
    <xf numFmtId="0" fontId="9"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xf numFmtId="0" fontId="1" fillId="0" borderId="0" xfId="0" applyFont="1" applyFill="1"/>
    <xf numFmtId="0" fontId="0" fillId="0" borderId="0" xfId="0" applyFill="1"/>
    <xf numFmtId="0" fontId="0" fillId="0" borderId="0" xfId="0" applyAlignment="1">
      <alignment vertical="top" wrapText="1"/>
    </xf>
    <xf numFmtId="0" fontId="0" fillId="7" borderId="3" xfId="0" applyFill="1" applyBorder="1" applyAlignment="1">
      <alignment horizontal="left" vertical="top"/>
    </xf>
    <xf numFmtId="0" fontId="0" fillId="2" borderId="3" xfId="0" applyFill="1" applyBorder="1" applyAlignment="1">
      <alignment horizontal="left" vertical="top"/>
    </xf>
    <xf numFmtId="0" fontId="0" fillId="5" borderId="3" xfId="0" applyFill="1" applyBorder="1" applyAlignment="1">
      <alignment horizontal="left" vertical="top"/>
    </xf>
    <xf numFmtId="0" fontId="0" fillId="0" borderId="0" xfId="0" applyFill="1" applyAlignment="1">
      <alignment vertical="top" wrapText="1"/>
    </xf>
    <xf numFmtId="0" fontId="0" fillId="0" borderId="9" xfId="0" applyBorder="1"/>
    <xf numFmtId="0" fontId="0" fillId="0" borderId="3" xfId="0" applyBorder="1"/>
    <xf numFmtId="0" fontId="2" fillId="4" borderId="4" xfId="0" applyFont="1" applyFill="1" applyBorder="1"/>
    <xf numFmtId="0" fontId="2" fillId="4" borderId="5" xfId="0" applyFont="1" applyFill="1" applyBorder="1"/>
    <xf numFmtId="0" fontId="2" fillId="4" borderId="20" xfId="0" applyFont="1" applyFill="1" applyBorder="1"/>
    <xf numFmtId="0" fontId="1" fillId="0" borderId="9" xfId="0" applyFont="1" applyBorder="1"/>
    <xf numFmtId="0" fontId="0" fillId="0" borderId="24" xfId="0" applyBorder="1"/>
    <xf numFmtId="0" fontId="1" fillId="0" borderId="3" xfId="0" applyFont="1" applyBorder="1"/>
    <xf numFmtId="0" fontId="0" fillId="0" borderId="3" xfId="0" applyFont="1" applyBorder="1"/>
    <xf numFmtId="0" fontId="1" fillId="0" borderId="0" xfId="0" applyFont="1"/>
    <xf numFmtId="0" fontId="0" fillId="0" borderId="22" xfId="0" applyBorder="1"/>
    <xf numFmtId="0" fontId="0" fillId="0" borderId="23" xfId="0" applyBorder="1"/>
    <xf numFmtId="0" fontId="1" fillId="0" borderId="10" xfId="0" applyFont="1" applyBorder="1" applyAlignment="1">
      <alignment horizontal="center"/>
    </xf>
    <xf numFmtId="0" fontId="1" fillId="0" borderId="9" xfId="0" applyFont="1" applyBorder="1" applyAlignment="1">
      <alignment horizontal="center"/>
    </xf>
    <xf numFmtId="0" fontId="0" fillId="5" borderId="1" xfId="0" applyFill="1" applyBorder="1"/>
    <xf numFmtId="0" fontId="0" fillId="5" borderId="6" xfId="0" applyFill="1" applyBorder="1"/>
    <xf numFmtId="0" fontId="0" fillId="7" borderId="10" xfId="0" applyFill="1" applyBorder="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9" xfId="0" applyFill="1" applyBorder="1" applyAlignment="1" applyProtection="1">
      <alignment vertical="top" wrapText="1"/>
      <protection locked="0"/>
    </xf>
    <xf numFmtId="0" fontId="0" fillId="7" borderId="10" xfId="0" applyFill="1" applyBorder="1" applyAlignment="1" applyProtection="1">
      <alignment vertical="top"/>
      <protection locked="0"/>
    </xf>
    <xf numFmtId="0" fontId="0" fillId="7" borderId="16" xfId="0" applyFill="1" applyBorder="1" applyAlignment="1" applyProtection="1">
      <alignment vertical="top"/>
      <protection locked="0"/>
    </xf>
    <xf numFmtId="0" fontId="0" fillId="7" borderId="9" xfId="0" applyFill="1" applyBorder="1" applyAlignment="1" applyProtection="1">
      <alignment vertical="top"/>
      <protection locked="0"/>
    </xf>
    <xf numFmtId="1" fontId="0" fillId="5" borderId="1" xfId="0" applyNumberFormat="1" applyFill="1" applyBorder="1" applyAlignment="1">
      <alignment horizontal="left"/>
    </xf>
    <xf numFmtId="0" fontId="0" fillId="5" borderId="6" xfId="0" applyFill="1" applyBorder="1" applyAlignment="1">
      <alignment horizontal="left"/>
    </xf>
    <xf numFmtId="0" fontId="1" fillId="0" borderId="2" xfId="0" applyFont="1" applyBorder="1"/>
    <xf numFmtId="0" fontId="1" fillId="0" borderId="6" xfId="0" applyFont="1" applyBorder="1"/>
    <xf numFmtId="0" fontId="12" fillId="7" borderId="10" xfId="0" applyFont="1" applyFill="1" applyBorder="1" applyAlignment="1" applyProtection="1">
      <alignment vertical="top" wrapText="1"/>
      <protection locked="0"/>
    </xf>
    <xf numFmtId="0" fontId="12" fillId="7" borderId="16" xfId="0" applyFont="1" applyFill="1" applyBorder="1" applyAlignment="1" applyProtection="1">
      <alignment vertical="top" wrapText="1"/>
      <protection locked="0"/>
    </xf>
    <xf numFmtId="0" fontId="12" fillId="7" borderId="9" xfId="0" applyFont="1" applyFill="1" applyBorder="1" applyAlignment="1" applyProtection="1">
      <alignment vertical="top" wrapText="1"/>
      <protection locked="0"/>
    </xf>
    <xf numFmtId="0" fontId="2" fillId="4" borderId="8" xfId="0" applyFont="1" applyFill="1" applyBorder="1"/>
    <xf numFmtId="0" fontId="2" fillId="4" borderId="7" xfId="0" applyFont="1" applyFill="1" applyBorder="1"/>
    <xf numFmtId="0" fontId="2" fillId="4" borderId="21" xfId="0" applyFont="1" applyFill="1" applyBorder="1"/>
    <xf numFmtId="0" fontId="0" fillId="7" borderId="17"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3" xfId="0" applyFill="1" applyBorder="1" applyAlignment="1" applyProtection="1">
      <alignment horizontal="left" vertical="top" wrapText="1"/>
      <protection locked="0"/>
    </xf>
    <xf numFmtId="0" fontId="0" fillId="7" borderId="2" xfId="0" applyFill="1" applyBorder="1" applyProtection="1">
      <protection locked="0"/>
    </xf>
    <xf numFmtId="0" fontId="0" fillId="7" borderId="1" xfId="0" applyFill="1" applyBorder="1" applyProtection="1">
      <protection locked="0"/>
    </xf>
    <xf numFmtId="0" fontId="0" fillId="7" borderId="6" xfId="0" applyFill="1" applyBorder="1" applyProtection="1">
      <protection locked="0"/>
    </xf>
    <xf numFmtId="0" fontId="0" fillId="7" borderId="10" xfId="0" applyFont="1" applyFill="1" applyBorder="1" applyAlignment="1" applyProtection="1">
      <alignment vertical="top" wrapText="1"/>
      <protection locked="0"/>
    </xf>
    <xf numFmtId="0" fontId="0" fillId="7" borderId="16" xfId="0" applyFont="1" applyFill="1" applyBorder="1" applyAlignment="1" applyProtection="1">
      <alignment vertical="top" wrapText="1"/>
      <protection locked="0"/>
    </xf>
    <xf numFmtId="0" fontId="0" fillId="7" borderId="9" xfId="0" applyFont="1" applyFill="1" applyBorder="1" applyAlignment="1" applyProtection="1">
      <alignment vertical="top" wrapText="1"/>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10" xfId="0" applyBorder="1"/>
    <xf numFmtId="0" fontId="1" fillId="0" borderId="3" xfId="0" applyFont="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1" fillId="0" borderId="0" xfId="0" applyNumberFormat="1" applyFont="1"/>
    <xf numFmtId="0" fontId="1" fillId="0" borderId="3" xfId="0" applyFont="1" applyBorder="1" applyAlignment="1">
      <alignment horizontal="center" vertical="center"/>
    </xf>
    <xf numFmtId="0" fontId="0" fillId="0" borderId="2" xfId="0" applyFont="1" applyFill="1" applyBorder="1"/>
    <xf numFmtId="0" fontId="0" fillId="0" borderId="1" xfId="0" applyFont="1" applyFill="1" applyBorder="1"/>
    <xf numFmtId="0" fontId="0" fillId="0" borderId="19" xfId="0" applyFont="1" applyFill="1" applyBorder="1"/>
    <xf numFmtId="0" fontId="0" fillId="5" borderId="14" xfId="0" applyFont="1" applyFill="1" applyBorder="1"/>
    <xf numFmtId="0" fontId="0" fillId="5" borderId="12" xfId="0" applyFont="1" applyFill="1" applyBorder="1"/>
    <xf numFmtId="0" fontId="1" fillId="0" borderId="25" xfId="0" applyFont="1" applyBorder="1"/>
    <xf numFmtId="0" fontId="0" fillId="0" borderId="27" xfId="0" applyBorder="1"/>
    <xf numFmtId="0" fontId="1" fillId="0" borderId="0" xfId="0" applyFont="1" applyBorder="1"/>
    <xf numFmtId="0" fontId="0" fillId="7" borderId="17" xfId="0" applyFill="1" applyBorder="1" applyAlignment="1" applyProtection="1">
      <alignment vertical="top" wrapText="1"/>
      <protection locked="0"/>
    </xf>
    <xf numFmtId="0" fontId="0" fillId="7" borderId="11" xfId="0" applyFill="1" applyBorder="1" applyAlignment="1" applyProtection="1">
      <alignment vertical="top" wrapText="1"/>
      <protection locked="0"/>
    </xf>
    <xf numFmtId="0" fontId="0" fillId="7" borderId="19" xfId="0" applyFill="1" applyBorder="1" applyAlignment="1" applyProtection="1">
      <alignment vertical="top" wrapText="1"/>
      <protection locked="0"/>
    </xf>
    <xf numFmtId="0" fontId="0" fillId="7" borderId="18" xfId="0" applyFill="1" applyBorder="1" applyAlignment="1" applyProtection="1">
      <alignment vertical="top" wrapText="1"/>
      <protection locked="0"/>
    </xf>
    <xf numFmtId="0" fontId="0" fillId="7" borderId="0"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0" fillId="7" borderId="12" xfId="0"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0" fontId="1" fillId="0" borderId="17" xfId="0" applyFont="1" applyBorder="1" applyAlignment="1">
      <alignment horizontal="center"/>
    </xf>
    <xf numFmtId="0" fontId="1" fillId="0" borderId="11" xfId="0" applyFont="1" applyBorder="1" applyAlignment="1">
      <alignment horizontal="center"/>
    </xf>
    <xf numFmtId="0" fontId="1" fillId="0" borderId="19" xfId="0" applyFont="1" applyBorder="1" applyAlignment="1">
      <alignment horizontal="center"/>
    </xf>
    <xf numFmtId="0" fontId="0" fillId="7" borderId="2" xfId="0" applyFont="1" applyFill="1" applyBorder="1" applyProtection="1">
      <protection locked="0"/>
    </xf>
    <xf numFmtId="0" fontId="0" fillId="7" borderId="1" xfId="0" applyFont="1" applyFill="1" applyBorder="1" applyProtection="1">
      <protection locked="0"/>
    </xf>
    <xf numFmtId="0" fontId="0" fillId="7" borderId="19" xfId="0" applyFont="1" applyFill="1" applyBorder="1" applyProtection="1">
      <protection locked="0"/>
    </xf>
    <xf numFmtId="0" fontId="1" fillId="5" borderId="26" xfId="0" applyFont="1" applyFill="1" applyBorder="1"/>
    <xf numFmtId="0" fontId="1" fillId="5" borderId="27" xfId="0" applyFont="1" applyFill="1" applyBorder="1"/>
    <xf numFmtId="0" fontId="1" fillId="5" borderId="28" xfId="0" applyFont="1" applyFill="1" applyBorder="1"/>
    <xf numFmtId="0" fontId="1" fillId="5" borderId="14" xfId="0" applyFont="1" applyFill="1" applyBorder="1"/>
    <xf numFmtId="0" fontId="1" fillId="5" borderId="13" xfId="0" applyFont="1" applyFill="1" applyBorder="1"/>
    <xf numFmtId="0" fontId="0" fillId="5" borderId="30" xfId="0" applyFont="1" applyFill="1" applyBorder="1"/>
    <xf numFmtId="0" fontId="0" fillId="5" borderId="31" xfId="0" applyFont="1" applyFill="1" applyBorder="1"/>
    <xf numFmtId="0" fontId="1" fillId="5" borderId="32" xfId="0" applyFont="1" applyFill="1" applyBorder="1"/>
    <xf numFmtId="0" fontId="0" fillId="5" borderId="33" xfId="0" applyFont="1" applyFill="1" applyBorder="1"/>
  </cellXfs>
  <cellStyles count="1">
    <cellStyle name="Normal" xfId="0" builtinId="0"/>
  </cellStyles>
  <dxfs count="376">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quot;$&quot;#,##0"/>
      <fill>
        <patternFill patternType="solid">
          <fgColor indexed="64"/>
          <bgColor rgb="FFC5D3C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rgb="FFC5D3C0"/>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rgb="FFC5D3C0"/>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6" formatCode="&quot;$&quot;#,##0.00"/>
      <fill>
        <patternFill patternType="solid">
          <fgColor indexed="64"/>
          <bgColor rgb="FFC5D3C0"/>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C5D3C0"/>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C5D3C0"/>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top style="thin">
          <color indexed="64"/>
        </top>
        <bottom/>
      </border>
    </dxf>
    <dxf>
      <fill>
        <patternFill patternType="solid">
          <fgColor indexed="64"/>
          <bgColor rgb="FFC5D3C0"/>
        </patternFill>
      </fill>
      <border diagonalUp="0" diagonalDown="0" outline="0">
        <left/>
        <right style="thin">
          <color indexed="64"/>
        </right>
        <top style="thin">
          <color indexed="64"/>
        </top>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3" formatCode="#,##0"/>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ill>
        <patternFill patternType="solid">
          <fgColor indexed="64"/>
          <bgColor rgb="FFC5D3C0"/>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rgb="FFC5D3C0"/>
        </patternFill>
      </fill>
      <border diagonalUp="0" diagonalDown="0" outline="0">
        <left style="thin">
          <color indexed="64"/>
        </left>
        <right/>
        <top style="thin">
          <color indexed="64"/>
        </top>
        <bottom style="thin">
          <color indexed="64"/>
        </bottom>
      </border>
    </dxf>
    <dxf>
      <numFmt numFmtId="3" formatCode="#,##0"/>
      <fill>
        <patternFill patternType="solid">
          <fgColor indexed="64"/>
          <bgColor rgb="FFC5D3C0"/>
        </patternFill>
      </fill>
      <border diagonalUp="0" diagonalDown="0" outline="0">
        <left style="thin">
          <color indexed="64"/>
        </left>
        <right/>
        <top style="thin">
          <color indexed="64"/>
        </top>
        <bottom/>
      </border>
    </dxf>
    <dxf>
      <numFmt numFmtId="1" formatCode="0"/>
      <fill>
        <patternFill patternType="solid">
          <fgColor indexed="64"/>
          <bgColor rgb="FFC5D3C0"/>
        </patternFill>
      </fill>
      <border diagonalUp="0" diagonalDown="0" outline="0">
        <left style="thin">
          <color indexed="64"/>
        </left>
        <right style="thin">
          <color indexed="64"/>
        </right>
        <top style="thin">
          <color indexed="64"/>
        </top>
        <bottom/>
      </border>
    </dxf>
    <dxf>
      <fill>
        <patternFill patternType="solid">
          <fgColor indexed="64"/>
          <bgColor rgb="FFC5D3C0"/>
        </patternFill>
      </fill>
      <border diagonalUp="0" diagonalDown="0" outline="0">
        <left style="thin">
          <color indexed="64"/>
        </left>
        <right style="thin">
          <color indexed="64"/>
        </right>
        <top style="thin">
          <color indexed="64"/>
        </top>
        <bottom/>
      </border>
    </dxf>
    <dxf>
      <fill>
        <patternFill patternType="solid">
          <fgColor indexed="64"/>
          <bgColor rgb="FFC5D3C0"/>
        </patternFill>
      </fill>
      <border diagonalUp="0" diagonalDown="0" outline="0">
        <left style="thin">
          <color indexed="64"/>
        </left>
        <right style="thin">
          <color indexed="64"/>
        </right>
        <top style="thin">
          <color indexed="64"/>
        </top>
        <bottom/>
      </border>
    </dxf>
    <dxf>
      <fill>
        <patternFill patternType="solid">
          <fgColor indexed="64"/>
          <bgColor rgb="FFC5D3C0"/>
        </patternFill>
      </fill>
      <border diagonalUp="0" diagonalDown="0" outline="0">
        <left/>
        <right style="thin">
          <color indexed="64"/>
        </right>
        <top style="thin">
          <color indexed="64"/>
        </top>
        <bottom/>
      </border>
    </dxf>
    <dxf>
      <numFmt numFmtId="165" formatCode="&quot;$&quot;#,##0"/>
      <fill>
        <patternFill patternType="solid">
          <fgColor indexed="64"/>
          <bgColor rgb="FFC5D3C0"/>
        </patternFill>
      </fill>
      <border diagonalUp="0" diagonalDown="0" outline="0">
        <left style="thin">
          <color indexed="64"/>
        </left>
        <right/>
        <top style="thin">
          <color indexed="64"/>
        </top>
        <bottom/>
      </border>
    </dxf>
    <dxf>
      <numFmt numFmtId="165" formatCode="&quot;$&quot;#,##0"/>
      <fill>
        <patternFill patternType="solid">
          <fgColor indexed="64"/>
          <bgColor rgb="FFC5D3C0"/>
        </patternFill>
      </fill>
      <border diagonalUp="0" diagonalDown="0">
        <left style="thin">
          <color indexed="64"/>
        </left>
        <right/>
        <top style="thin">
          <color indexed="64"/>
        </top>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horizontal/>
      </border>
      <protection locked="0" hidden="0"/>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vertical/>
        <horizontal/>
      </border>
      <protection locked="0" hidden="0"/>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vertical/>
        <horizontal/>
      </border>
      <protection locked="0" hidden="0"/>
    </dxf>
    <dxf>
      <numFmt numFmtId="165" formatCode="&quot;$&quot;#,##0"/>
      <fill>
        <patternFill patternType="solid">
          <fgColor indexed="64"/>
          <bgColor rgb="FFC5D3C0"/>
        </patternFill>
      </fill>
      <border diagonalUp="0" diagonalDown="0" outline="0">
        <left/>
        <right style="thin">
          <color indexed="64"/>
        </right>
        <top style="thin">
          <color indexed="64"/>
        </top>
        <bottom/>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border>
    </dxf>
    <dxf>
      <fill>
        <patternFill patternType="solid">
          <fgColor indexed="64"/>
          <bgColor rgb="FFC5D3C0"/>
        </patternFill>
      </fill>
      <border diagonalUp="0" diagonalDown="0" outline="0">
        <left/>
        <right style="thin">
          <color indexed="64"/>
        </right>
        <top style="thin">
          <color indexed="64"/>
        </top>
        <bottom style="thin">
          <color indexed="64"/>
        </bottom>
      </border>
    </dxf>
    <dxf>
      <numFmt numFmtId="13" formatCode="0%"/>
      <fill>
        <patternFill patternType="solid">
          <fgColor indexed="64"/>
          <bgColor rgb="FFFFEBC6"/>
        </patternFill>
      </fill>
      <border diagonalUp="0" diagonalDown="0">
        <left style="thin">
          <color indexed="64"/>
        </left>
        <right style="thin">
          <color indexed="64"/>
        </right>
        <top style="thin">
          <color indexed="64"/>
        </top>
        <bottom/>
      </border>
      <protection locked="0" hidden="0"/>
    </dxf>
    <dxf>
      <fill>
        <patternFill patternType="solid">
          <fgColor indexed="64"/>
          <bgColor rgb="FFC5D3C0"/>
        </patternFill>
      </fill>
      <border diagonalUp="0" diagonalDown="0" outline="0">
        <left/>
        <right/>
        <top style="thin">
          <color indexed="64"/>
        </top>
        <bottom style="thin">
          <color indexed="64"/>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border>
      <protection locked="0" hidden="0"/>
    </dxf>
    <dxf>
      <fill>
        <patternFill patternType="solid">
          <fgColor indexed="64"/>
          <bgColor rgb="FFC5D3C0"/>
        </patternFill>
      </fill>
      <border diagonalUp="0" diagonalDown="0" outline="0">
        <left style="thin">
          <color indexed="64"/>
        </left>
        <right/>
        <top style="thin">
          <color indexed="64"/>
        </top>
        <bottom style="thin">
          <color indexed="64"/>
        </bottom>
      </border>
    </dxf>
    <dxf>
      <numFmt numFmtId="0" formatCode="General"/>
      <fill>
        <patternFill patternType="solid">
          <fgColor indexed="64"/>
          <bgColor rgb="FFFFEBC6"/>
        </patternFill>
      </fill>
      <border diagonalUp="0" diagonalDown="0">
        <left style="thin">
          <color indexed="64"/>
        </left>
        <right style="thin">
          <color indexed="64"/>
        </right>
        <top style="thin">
          <color indexed="64"/>
        </top>
        <bottom/>
        <vertical/>
        <horizontal/>
      </border>
      <protection locked="0" hidden="0"/>
    </dxf>
    <dxf>
      <numFmt numFmtId="165" formatCode="&quot;$&quot;#,##0"/>
      <fill>
        <patternFill patternType="solid">
          <fgColor indexed="64"/>
          <bgColor rgb="FFC5D3C0"/>
        </patternFill>
      </fill>
      <border diagonalUp="0" diagonalDown="0" outline="0">
        <left style="thin">
          <color indexed="64"/>
        </left>
        <right/>
        <top style="thin">
          <color indexed="64"/>
        </top>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border>
      <protection locked="0" hidden="0"/>
    </dxf>
    <dxf>
      <fill>
        <patternFill patternType="solid">
          <fgColor indexed="64"/>
          <bgColor rgb="FFC5D3C0"/>
        </patternFill>
      </fill>
      <border diagonalUp="0" diagonalDown="0" outline="0">
        <left/>
        <right/>
        <top style="thin">
          <color indexed="64"/>
        </top>
        <bottom/>
      </border>
    </dxf>
    <dxf>
      <fill>
        <patternFill patternType="solid">
          <fgColor indexed="64"/>
          <bgColor theme="8" tint="0.79998168889431442"/>
        </patternFill>
      </fill>
      <protection locked="0" hidden="0"/>
    </dxf>
    <dxf>
      <border outline="0">
        <top style="thin">
          <color indexed="64"/>
        </top>
      </border>
    </dxf>
    <dxf>
      <fill>
        <patternFill>
          <fgColor indexed="64"/>
          <bgColor rgb="FFC5D3C0"/>
        </patternFill>
      </fill>
    </dxf>
    <dxf>
      <border outline="0">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vertical/>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vertical/>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horizontal/>
      </border>
      <protection locked="0" hidden="0"/>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vertical/>
        <horizontal/>
      </border>
      <protection locked="0" hidden="0"/>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vertical/>
        <horizontal/>
      </border>
      <protection locked="0" hidden="0"/>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horizontal/>
      </border>
    </dxf>
    <dxf>
      <numFmt numFmtId="13" formatCode="0%"/>
      <fill>
        <patternFill patternType="solid">
          <fgColor indexed="64"/>
          <bgColor rgb="FFFFEBC6"/>
        </patternFill>
      </fill>
      <border diagonalUp="0" diagonalDown="0">
        <left style="thin">
          <color indexed="64"/>
        </left>
        <right style="thin">
          <color indexed="64"/>
        </right>
        <top style="thin">
          <color indexed="64"/>
        </top>
        <bottom/>
        <vertical/>
        <horizontal/>
      </border>
      <protection locked="0" hidden="0"/>
    </dxf>
    <dxf>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horizontal/>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vertical/>
        <horizontal/>
      </border>
      <protection locked="0" hidden="0"/>
    </dxf>
    <dxf>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rgb="FFFFEBC6"/>
        </patternFill>
      </fill>
      <border diagonalUp="0" diagonalDown="0">
        <left style="thin">
          <color indexed="64"/>
        </left>
        <right style="thin">
          <color indexed="64"/>
        </right>
        <top style="thin">
          <color indexed="64"/>
        </top>
        <bottom/>
        <vertical/>
        <horizontal/>
      </border>
      <protection locked="0" hidden="0"/>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border>
      <protection locked="0" hidden="0"/>
    </dxf>
    <dxf>
      <fill>
        <patternFill patternType="solid">
          <fgColor indexed="64"/>
          <bgColor theme="8" tint="0.79998168889431442"/>
        </patternFill>
      </fill>
      <protection locked="0" hidden="0"/>
    </dxf>
    <dxf>
      <border outline="0">
        <top style="thin">
          <color indexed="64"/>
        </top>
      </border>
    </dxf>
    <dxf>
      <fill>
        <patternFill>
          <fgColor indexed="64"/>
          <bgColor rgb="FFC5D3C0"/>
        </patternFill>
      </fill>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numFmt numFmtId="166" formatCode="&quot;$&quot;#,##0.0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6" formatCode="&quot;$&quot;#,##0.00"/>
      <border diagonalUp="0" diagonalDown="0">
        <right style="thin">
          <color indexed="64"/>
        </right>
        <vertical/>
      </border>
    </dxf>
    <dxf>
      <numFmt numFmtId="166" formatCode="&quot;$&quot;#,##0.0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protection locked="0" hidden="0"/>
    </dxf>
    <dxf>
      <numFmt numFmtId="166" formatCode="&quot;$&quot;#,##0.0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protection locked="0" hidden="0"/>
    </dxf>
    <dxf>
      <fill>
        <patternFill patternType="solid">
          <fgColor indexed="64"/>
          <bgColor rgb="FFC5D3C0"/>
        </patternFill>
      </fill>
      <border diagonalUp="0" diagonalDown="0" outline="0">
        <left/>
        <right style="thin">
          <color indexed="64"/>
        </right>
        <top style="thin">
          <color indexed="64"/>
        </top>
        <bottom style="thin">
          <color indexed="64"/>
        </bottom>
      </border>
    </dxf>
    <dxf>
      <protection locked="0" hidden="0"/>
    </dxf>
    <dxf>
      <fill>
        <patternFill patternType="solid">
          <fgColor indexed="64"/>
          <bgColor rgb="FFC5D3C0"/>
        </patternFill>
      </fill>
      <border diagonalUp="0" diagonalDown="0" outline="0">
        <left style="thin">
          <color indexed="64"/>
        </left>
        <right/>
        <top style="thin">
          <color indexed="64"/>
        </top>
        <bottom style="thin">
          <color indexed="64"/>
        </bottom>
      </border>
    </dxf>
    <dxf>
      <protection locked="0" hidden="0"/>
    </dxf>
    <dxf>
      <fill>
        <patternFill patternType="solid">
          <fgColor indexed="64"/>
          <bgColor rgb="FFC5D3C0"/>
        </patternFill>
      </fill>
    </dxf>
    <dxf>
      <border outline="0">
        <left style="thin">
          <color indexed="64"/>
        </left>
        <top style="thin">
          <color indexed="64"/>
        </top>
      </border>
    </dxf>
    <dxf>
      <font>
        <strike val="0"/>
        <outline val="0"/>
        <shadow val="0"/>
        <u val="none"/>
        <vertAlign val="baseline"/>
        <sz val="11"/>
        <color auto="1"/>
        <name val="Calibri"/>
        <family val="2"/>
        <scheme val="minor"/>
      </font>
      <fill>
        <patternFill patternType="solid">
          <fgColor indexed="64"/>
          <bgColor theme="0"/>
        </patternFill>
      </fill>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bottom/>
      </border>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bottom/>
      </border>
    </dxf>
    <dxf>
      <numFmt numFmtId="166" formatCode="&quot;$&quot;#,##0.00"/>
      <fill>
        <patternFill patternType="solid">
          <fgColor indexed="64"/>
          <bgColor rgb="FFFFEBC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outline="0">
        <left/>
        <right style="thin">
          <color indexed="64"/>
        </right>
        <top/>
        <bottom/>
      </border>
    </dxf>
    <dxf>
      <numFmt numFmtId="166" formatCode="&quot;$&quot;#,##0.00"/>
      <fill>
        <patternFill patternType="solid">
          <fgColor indexed="64"/>
          <bgColor rgb="FFFFEBC6"/>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ill>
        <patternFill patternType="solid">
          <fgColor indexed="64"/>
          <bgColor rgb="FFC5D3C0"/>
        </patternFill>
      </fill>
      <border diagonalUp="0" diagonalDown="0" outline="0">
        <left/>
        <right style="thin">
          <color indexed="64"/>
        </right>
        <top style="thin">
          <color indexed="64"/>
        </top>
        <bottom style="thin">
          <color indexed="64"/>
        </bottom>
      </border>
    </dxf>
    <dxf>
      <protection locked="0" hidden="0"/>
    </dxf>
    <dxf>
      <fill>
        <patternFill patternType="solid">
          <fgColor indexed="64"/>
          <bgColor rgb="FFC5D3C0"/>
        </patternFill>
      </fill>
      <border diagonalUp="0" diagonalDown="0" outline="0">
        <left style="thin">
          <color indexed="64"/>
        </left>
        <right/>
        <top style="thin">
          <color indexed="64"/>
        </top>
        <bottom style="thin">
          <color indexed="64"/>
        </bottom>
      </border>
    </dxf>
    <dxf>
      <protection locked="0" hidden="0"/>
    </dxf>
    <dxf>
      <border outline="0">
        <left style="thin">
          <color indexed="64"/>
        </left>
        <top style="thin">
          <color indexed="64"/>
        </top>
      </border>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6" formatCode="&quot;$&quot;#,##0.00"/>
      <border diagonalUp="0" diagonalDown="0">
        <right style="thin">
          <color indexed="64"/>
        </right>
        <vertical/>
      </border>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protection locked="0" hidden="0"/>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outline="0">
        <left/>
        <right style="thin">
          <color indexed="64"/>
        </right>
        <top style="thin">
          <color indexed="64"/>
        </top>
        <bottom/>
      </border>
    </dxf>
    <dxf>
      <protection locked="0" hidden="0"/>
    </dxf>
    <dxf>
      <fill>
        <patternFill patternType="solid">
          <fgColor indexed="64"/>
          <bgColor theme="0"/>
        </patternFill>
      </fill>
      <protection locked="0" hidden="0"/>
    </dxf>
    <dxf>
      <fill>
        <patternFill patternType="solid">
          <fgColor indexed="64"/>
          <bgColor theme="0"/>
        </patternFill>
      </fill>
      <border diagonalUp="0" diagonalDown="0">
        <left style="thin">
          <color indexed="64"/>
        </left>
        <right/>
      </border>
      <protection locked="0" hidden="0"/>
    </dxf>
    <dxf>
      <border outline="0">
        <top style="thin">
          <color indexed="64"/>
        </top>
      </border>
    </dxf>
    <dxf>
      <fill>
        <patternFill patternType="solid">
          <fgColor indexed="64"/>
          <bgColor rgb="FFC5D3C0"/>
        </patternFill>
      </fill>
    </dxf>
    <dxf>
      <border outline="0">
        <top style="thin">
          <color indexed="64"/>
        </top>
        <bottom style="thin">
          <color indexed="64"/>
        </bottom>
      </border>
    </dxf>
    <dxf>
      <border outline="0">
        <bottom style="thin">
          <color indexed="64"/>
        </bottom>
      </border>
    </dxf>
    <dxf>
      <fill>
        <patternFill patternType="solid">
          <fgColor indexed="64"/>
          <bgColor theme="0"/>
        </patternFill>
      </fill>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6" formatCode="&quot;$&quot;#,##0.00"/>
      <border diagonalUp="0" diagonalDown="0">
        <left style="thin">
          <color indexed="64"/>
        </left>
        <right style="thin">
          <color indexed="64"/>
        </right>
        <vertical/>
      </border>
    </dxf>
    <dxf>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protection locked="0" hidden="0"/>
    </dxf>
    <dxf>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left style="thin">
          <color indexed="64"/>
        </left>
      </border>
      <protection locked="0" hidden="0"/>
    </dxf>
    <dxf>
      <fill>
        <patternFill patternType="solid">
          <fgColor indexed="64"/>
          <bgColor rgb="FFC5D3C0"/>
        </patternFill>
      </fill>
      <border diagonalUp="0" diagonalDown="0" outline="0">
        <left style="thin">
          <color indexed="64"/>
        </left>
        <right style="thin">
          <color indexed="64"/>
        </right>
        <top style="thin">
          <color indexed="64"/>
        </top>
        <bottom/>
      </border>
    </dxf>
    <dxf>
      <fill>
        <patternFill patternType="solid">
          <fgColor indexed="64"/>
          <bgColor theme="8" tint="0.79998168889431442"/>
        </patternFill>
      </fill>
      <border>
        <left style="thin">
          <color indexed="64"/>
        </left>
      </border>
      <protection locked="0" hidden="0"/>
    </dxf>
    <dxf>
      <fill>
        <patternFill patternType="solid">
          <fgColor indexed="64"/>
          <bgColor rgb="FFC5D3C0"/>
        </patternFill>
      </fill>
      <border diagonalUp="0" diagonalDown="0" outline="0">
        <left style="thin">
          <color indexed="64"/>
        </left>
        <right style="thin">
          <color indexed="64"/>
        </right>
        <top style="thin">
          <color indexed="64"/>
        </top>
        <bottom/>
      </border>
    </dxf>
    <dxf>
      <fill>
        <patternFill patternType="solid">
          <fgColor indexed="64"/>
          <bgColor theme="8" tint="0.79998168889431442"/>
        </patternFill>
      </fill>
      <border diagonalUp="0" diagonalDown="0">
        <left style="thin">
          <color indexed="64"/>
        </left>
        <right style="thin">
          <color indexed="64"/>
        </right>
      </border>
      <protection locked="0" hidden="0"/>
    </dxf>
    <dxf>
      <border outline="0">
        <top style="thin">
          <color indexed="64"/>
        </top>
      </border>
    </dxf>
    <dxf>
      <fill>
        <patternFill patternType="solid">
          <fgColor indexed="64"/>
          <bgColor rgb="FFC5D3C0"/>
        </patternFill>
      </fill>
    </dxf>
    <dxf>
      <border outline="0">
        <bottom style="thin">
          <color indexed="64"/>
        </bottom>
      </border>
    </dxf>
    <dxf>
      <border outline="0">
        <bottom style="thin">
          <color indexed="64"/>
        </bottom>
      </border>
    </dxf>
    <dxf>
      <numFmt numFmtId="166" formatCode="&quot;$&quot;#,##0.00"/>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top style="thin">
          <color indexed="64"/>
        </top>
        <bottom/>
      </border>
    </dxf>
    <dxf>
      <numFmt numFmtId="166" formatCode="&quot;$&quot;#,##0.00"/>
    </dxf>
    <dxf>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protection locked="0" hidden="0"/>
    </dxf>
    <dxf>
      <fill>
        <patternFill patternType="solid">
          <fgColor indexed="64"/>
          <bgColor rgb="FFC5D3C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left style="thin">
          <color indexed="64"/>
        </left>
      </border>
      <protection locked="0" hidden="0"/>
    </dxf>
    <dxf>
      <fill>
        <patternFill patternType="solid">
          <fgColor indexed="64"/>
          <bgColor rgb="FFC5D3C0"/>
        </patternFill>
      </fill>
      <border diagonalUp="0" diagonalDown="0" outline="0">
        <left style="thin">
          <color indexed="64"/>
        </left>
        <right style="thin">
          <color indexed="64"/>
        </right>
        <top style="thin">
          <color indexed="64"/>
        </top>
        <bottom/>
      </border>
    </dxf>
    <dxf>
      <fill>
        <patternFill patternType="solid">
          <fgColor indexed="64"/>
          <bgColor theme="8" tint="0.79998168889431442"/>
        </patternFill>
      </fill>
      <border>
        <left style="thin">
          <color indexed="64"/>
        </left>
      </border>
      <protection locked="0" hidden="0"/>
    </dxf>
    <dxf>
      <fill>
        <patternFill patternType="solid">
          <fgColor indexed="64"/>
          <bgColor rgb="FFC5D3C0"/>
        </patternFill>
      </fill>
      <border diagonalUp="0" diagonalDown="0" outline="0">
        <left/>
        <right style="thin">
          <color indexed="64"/>
        </right>
        <top style="thin">
          <color indexed="64"/>
        </top>
        <bottom/>
      </border>
    </dxf>
    <dxf>
      <fill>
        <patternFill patternType="solid">
          <fgColor indexed="64"/>
          <bgColor theme="8" tint="0.79998168889431442"/>
        </patternFill>
      </fill>
      <protection locked="0" hidden="0"/>
    </dxf>
    <dxf>
      <border outline="0">
        <top style="thin">
          <color indexed="64"/>
        </top>
      </border>
    </dxf>
    <dxf>
      <fill>
        <patternFill patternType="solid">
          <fgColor indexed="64"/>
          <bgColor rgb="FFC5D3C0"/>
        </patternFill>
      </fill>
    </dxf>
    <dxf>
      <border outline="0">
        <left style="thin">
          <color indexed="64"/>
        </left>
        <right style="thin">
          <color indexed="64"/>
        </right>
        <top style="thin">
          <color indexed="64"/>
        </top>
        <bottom style="thin">
          <color indexed="64"/>
        </bottom>
      </border>
    </dxf>
    <dxf>
      <border outline="0">
        <bottom style="thin">
          <color indexed="64"/>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quot;$&quot;#,##0"/>
      <fill>
        <patternFill patternType="solid">
          <fgColor indexed="64"/>
          <bgColor rgb="FFFFEBC6"/>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outline="0">
        <left style="thin">
          <color indexed="64"/>
        </left>
        <right style="thin">
          <color indexed="64"/>
        </right>
        <top/>
        <bottom/>
      </border>
    </dxf>
    <dxf>
      <numFmt numFmtId="166" formatCode="&quot;$&quot;#,##0.00"/>
      <fill>
        <patternFill patternType="solid">
          <fgColor indexed="64"/>
          <bgColor rgb="FFFFEBC6"/>
        </patternFill>
      </fill>
      <border diagonalUp="0" diagonalDown="0" outline="0">
        <left style="thin">
          <color indexed="64"/>
        </left>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border>
    </dxf>
    <dxf>
      <fill>
        <patternFill patternType="solid">
          <fgColor indexed="64"/>
          <bgColor theme="8" tint="0.79998168889431442"/>
        </patternFill>
      </fill>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right style="thin">
          <color indexed="64"/>
        </right>
        <top style="thin">
          <color indexed="64"/>
        </top>
        <bottom/>
      </border>
    </dxf>
    <dxf>
      <fill>
        <patternFill patternType="solid">
          <fgColor indexed="64"/>
          <bgColor theme="8" tint="0.79998168889431442"/>
        </patternFill>
      </fill>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strike val="0"/>
        <outline val="0"/>
        <shadow val="0"/>
        <u val="none"/>
        <vertAlign val="baseline"/>
        <sz val="11"/>
        <color auto="1"/>
        <name val="Calibri"/>
        <family val="2"/>
        <scheme val="minor"/>
      </font>
      <fill>
        <patternFill patternType="solid">
          <fgColor indexed="64"/>
          <bgColor theme="0"/>
        </patternFill>
      </fill>
    </dxf>
    <dxf>
      <numFmt numFmtId="165" formatCode="&quot;$&quot;#,##0"/>
      <protection locked="0" hidden="0"/>
    </dxf>
    <dxf>
      <numFmt numFmtId="165" formatCode="&quot;$&quot;#,##0"/>
      <protection locked="0" hidden="0"/>
    </dxf>
    <dxf>
      <fill>
        <patternFill patternType="solid">
          <fgColor indexed="64"/>
          <bgColor theme="8" tint="0.79998168889431442"/>
        </patternFill>
      </fill>
      <protection locked="0" hidden="0"/>
    </dxf>
    <dxf>
      <fill>
        <patternFill patternType="solid">
          <fgColor indexed="64"/>
          <bgColor theme="8" tint="0.79998168889431442"/>
        </patternFill>
      </fill>
      <protection locked="0" hidden="0"/>
    </dxf>
    <dxf>
      <fill>
        <patternFill patternType="solid">
          <fgColor indexed="64"/>
          <bgColor theme="8" tint="0.79998168889431442"/>
        </patternFill>
      </fill>
      <protection locked="0" hidden="0"/>
    </dxf>
    <dxf>
      <fill>
        <patternFill patternType="solid">
          <fgColor indexed="64"/>
          <bgColor theme="8" tint="0.79998168889431442"/>
        </patternFill>
      </fill>
      <protection locked="0" hidden="0"/>
    </dxf>
    <dxf>
      <fill>
        <patternFill patternType="solid">
          <fgColor indexed="64"/>
          <bgColor theme="8" tint="0.79998168889431442"/>
        </patternFill>
      </fill>
      <protection locked="0" hidden="0"/>
    </dxf>
    <dxf>
      <fill>
        <patternFill patternType="solid">
          <fgColor indexed="64"/>
          <bgColor theme="8" tint="0.79998168889431442"/>
        </patternFill>
      </fill>
      <protection locked="0" hidden="0"/>
    </dxf>
    <dxf>
      <fill>
        <patternFill patternType="solid">
          <fgColor indexed="64"/>
          <bgColor theme="8" tint="0.79998168889431442"/>
        </patternFill>
      </fill>
      <protection locked="0" hidden="0"/>
    </dxf>
    <dxf>
      <fill>
        <patternFill patternType="solid">
          <fgColor indexed="64"/>
          <bgColor theme="8" tint="0.79998168889431442"/>
        </patternFill>
      </fill>
      <protection locked="0" hidden="0"/>
    </dxf>
    <dxf>
      <fill>
        <patternFill patternType="solid">
          <fgColor indexed="64"/>
          <bgColor theme="8" tint="0.79998168889431442"/>
        </patternFill>
      </fill>
      <border diagonalUp="0" diagonalDown="0">
        <left style="thin">
          <color indexed="64"/>
        </left>
        <right/>
      </border>
      <protection locked="0" hidden="0"/>
    </dxf>
    <dxf>
      <fill>
        <patternFill patternType="solid">
          <fgColor indexed="64"/>
          <bgColor rgb="FFC5D3C0"/>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border>
    </dxf>
    <dxf>
      <numFmt numFmtId="13" formatCode="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 formatCode="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border>
      <protection locked="0" hidden="0"/>
    </dxf>
    <dxf>
      <fill>
        <patternFill>
          <fgColor indexed="64"/>
          <bgColor rgb="FFC5D3C0"/>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numFmt numFmtId="165" formatCode="&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quot;$&quot;#,##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quot;$&quot;#,##0"/>
      <border>
        <left style="thin">
          <color indexed="64"/>
        </left>
      </border>
      <protection locked="0" hidden="0"/>
    </dxf>
    <dxf>
      <fill>
        <patternFill patternType="solid">
          <fgColor indexed="64"/>
          <bgColor theme="8" tint="0.79998168889431442"/>
        </patternFill>
      </fill>
      <border diagonalUp="0" diagonalDown="0">
        <left style="thin">
          <color indexed="64"/>
        </left>
        <right style="thin">
          <color indexed="64"/>
        </right>
      </border>
      <protection locked="0" hidden="0"/>
    </dxf>
    <dxf>
      <fill>
        <patternFill patternType="solid">
          <fgColor indexed="64"/>
          <bgColor rgb="FFC5D3C0"/>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numFmt numFmtId="165" formatCode="&quot;$&quot;#,##0"/>
      <fill>
        <patternFill patternType="solid">
          <fgColor indexed="64"/>
          <bgColor rgb="FFC5D3C0"/>
        </patternFill>
      </fill>
    </dxf>
    <dxf>
      <numFmt numFmtId="0" formatCode="General"/>
      <fill>
        <patternFill patternType="solid">
          <fgColor indexed="64"/>
          <bgColor rgb="FFC5D3C0"/>
        </patternFill>
      </fill>
      <border>
        <left style="thin">
          <color indexed="64"/>
        </left>
        <right style="thin">
          <color indexed="64"/>
        </right>
      </border>
    </dxf>
    <dxf>
      <numFmt numFmtId="167" formatCode="0.0"/>
      <fill>
        <patternFill patternType="solid">
          <fgColor indexed="64"/>
          <bgColor rgb="FFFFEBC6"/>
        </patternFill>
      </fill>
      <border>
        <left style="thin">
          <color indexed="64"/>
        </left>
        <right style="thin">
          <color indexed="64"/>
        </right>
      </border>
      <protection locked="0" hidden="0"/>
    </dxf>
    <dxf>
      <numFmt numFmtId="165" formatCode="&quot;$&quot;#,##0"/>
      <fill>
        <patternFill patternType="solid">
          <fgColor indexed="64"/>
          <bgColor rgb="FFC5D3C0"/>
        </patternFill>
      </fill>
      <border>
        <left style="thin">
          <color indexed="64"/>
        </left>
        <right style="thin">
          <color indexed="64"/>
        </right>
      </border>
    </dxf>
    <dxf>
      <numFmt numFmtId="167" formatCode="0.0"/>
      <fill>
        <patternFill patternType="solid">
          <fgColor indexed="64"/>
          <bgColor rgb="FFFFEBC6"/>
        </patternFill>
      </fill>
      <border>
        <left style="thin">
          <color indexed="64"/>
        </left>
        <right style="thin">
          <color indexed="64"/>
        </right>
      </border>
      <protection locked="0" hidden="0"/>
    </dxf>
    <dxf>
      <fill>
        <patternFill patternType="solid">
          <fgColor indexed="64"/>
          <bgColor theme="8" tint="0.79998168889431442"/>
        </patternFill>
      </fill>
      <border outline="0">
        <left style="thin">
          <color indexed="64"/>
        </left>
        <right style="thin">
          <color indexed="64"/>
        </right>
      </border>
    </dxf>
    <dxf>
      <fill>
        <patternFill patternType="solid">
          <fgColor indexed="64"/>
          <bgColor theme="8" tint="0.79998168889431442"/>
        </patternFill>
      </fill>
      <border>
        <right style="thin">
          <color indexed="64"/>
        </right>
      </border>
      <protection locked="0" hidden="0"/>
    </dxf>
    <dxf>
      <border outline="0">
        <top style="thin">
          <color indexed="64"/>
        </top>
      </border>
    </dxf>
    <dxf>
      <fill>
        <patternFill>
          <fgColor indexed="64"/>
          <bgColor rgb="FFC5D3C0"/>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family val="2"/>
        <scheme val="minor"/>
      </font>
      <numFmt numFmtId="165" formatCode="&quot;$&quot;#,##0"/>
      <fill>
        <patternFill>
          <fgColor indexed="64"/>
          <bgColor rgb="FFC5D3C0"/>
        </patternFill>
      </fill>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rgb="FFC5D3C0"/>
        </patternFill>
      </fill>
      <border diagonalUp="0" diagonalDown="0">
        <left style="thin">
          <color indexed="64"/>
        </left>
        <right/>
        <top style="thin">
          <color indexed="64"/>
        </top>
        <bottom style="thin">
          <color indexed="64"/>
        </bottom>
      </border>
    </dxf>
    <dxf>
      <font>
        <strike val="0"/>
        <outline val="0"/>
        <shadow val="0"/>
        <u val="none"/>
        <vertAlign val="baseline"/>
        <sz val="11"/>
        <color auto="1"/>
        <name val="Calibri"/>
        <family val="2"/>
        <scheme val="minor"/>
      </font>
      <numFmt numFmtId="1" formatCode="0"/>
      <fill>
        <patternFill patternType="solid">
          <fgColor indexed="64"/>
          <bgColor rgb="FFFFEBC6"/>
        </patternFill>
      </fill>
      <border>
        <left style="thin">
          <color indexed="64"/>
        </left>
        <right style="thin">
          <color indexed="64"/>
        </right>
      </border>
      <protection locked="0" hidden="0"/>
    </dxf>
    <dxf>
      <font>
        <strike val="0"/>
        <outline val="0"/>
        <shadow val="0"/>
        <u val="none"/>
        <vertAlign val="baseline"/>
        <sz val="11"/>
        <color auto="1"/>
        <name val="Calibri"/>
        <family val="2"/>
        <scheme val="minor"/>
      </font>
      <numFmt numFmtId="166" formatCode="&quot;$&quot;#,##0.00"/>
      <fill>
        <patternFill patternType="solid">
          <fgColor indexed="64"/>
          <bgColor rgb="FFFFEBC6"/>
        </patternFill>
      </fill>
      <border>
        <right style="thin">
          <color indexed="64"/>
        </right>
      </border>
      <protection locked="0" hidden="0"/>
    </dxf>
    <dxf>
      <numFmt numFmtId="167" formatCode="0.0"/>
      <border>
        <left style="thin">
          <color indexed="64"/>
        </left>
        <right style="thin">
          <color indexed="64"/>
        </right>
      </border>
      <protection locked="0" hidden="0"/>
    </dxf>
    <dxf>
      <fill>
        <patternFill patternType="solid">
          <fgColor indexed="64"/>
          <bgColor theme="0" tint="-0.14999847407452621"/>
        </patternFill>
      </fill>
      <border outline="0">
        <left style="thin">
          <color indexed="64"/>
        </left>
      </border>
    </dxf>
    <dxf>
      <fill>
        <patternFill patternType="solid">
          <fgColor indexed="64"/>
          <bgColor theme="8" tint="0.79998168889431442"/>
        </patternFill>
      </fill>
      <border>
        <right style="thin">
          <color indexed="64"/>
        </right>
      </border>
      <protection locked="0" hidden="0"/>
    </dxf>
    <dxf>
      <border outline="0">
        <top style="thin">
          <color indexed="64"/>
        </top>
      </border>
    </dxf>
    <dxf>
      <font>
        <strike val="0"/>
        <outline val="0"/>
        <shadow val="0"/>
        <u val="none"/>
        <vertAlign val="baseline"/>
        <sz val="11"/>
        <color rgb="FFC5D3C0"/>
        <name val="Calibri"/>
        <family val="2"/>
        <scheme val="minor"/>
      </font>
      <fill>
        <patternFill>
          <fgColor indexed="64"/>
          <bgColor rgb="FFC5D3C0"/>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outline="0">
        <left style="thin">
          <color indexed="64"/>
        </left>
        <right style="thin">
          <color indexed="64"/>
        </right>
        <top/>
        <bottom/>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3" formatCode="#,##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numFmt numFmtId="167" formatCode="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7" formatCode="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dxf>
    <dxf>
      <border outline="0">
        <top style="thin">
          <color indexed="64"/>
        </top>
      </border>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numFmt numFmtId="166" formatCode="&quot;$&quot;#,##0.00"/>
      <fill>
        <patternFill patternType="solid">
          <fgColor indexed="64"/>
          <bgColor rgb="FFC5D3C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3" formatCode="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6"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6"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dxf>
    <dxf>
      <font>
        <b/>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6"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6"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quot;$&quot;#,##0"/>
      <fill>
        <patternFill patternType="solid">
          <fgColor indexed="64"/>
          <bgColor rgb="FFC5D3C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6"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6"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quot;$&quot;#,##0"/>
      <fill>
        <patternFill patternType="solid">
          <fgColor indexed="64"/>
          <bgColor rgb="FFC5D3C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EBC6"/>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6"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dxf>
    <dxf>
      <font>
        <b/>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numFmt numFmtId="3" formatCode="#,##0"/>
      <fill>
        <patternFill patternType="solid">
          <fgColor indexed="64"/>
          <bgColor rgb="FFC5D3C0"/>
        </patternFill>
      </fill>
      <border diagonalUp="0" diagonalDown="0">
        <left style="thin">
          <color indexed="64"/>
        </left>
        <right/>
        <top style="thin">
          <color indexed="64"/>
        </top>
        <bottom style="thin">
          <color indexed="64"/>
        </bottom>
      </border>
    </dxf>
    <dxf>
      <numFmt numFmtId="1" formatCode="0"/>
      <fill>
        <patternFill patternType="solid">
          <fgColor indexed="64"/>
          <bgColor rgb="FFC5D3C0"/>
        </patternFill>
      </fill>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3" formatCode="#,##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87C38"/>
      <color rgb="FFA2A4A7"/>
      <color rgb="FF5B89B4"/>
      <color rgb="FFC5D3C0"/>
      <color rgb="FFFFEB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thearn_ufl_edu/Documents/P2_EconomicInfoAnalysis/ProtectedAg/MyBudgets_HydroProtectedAg/HydroponicBudget_Tomato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Sheet"/>
      <sheetName val="1_FixedOverhead"/>
      <sheetName val="2_RateTables"/>
      <sheetName val="3_CropProductionByActivity"/>
      <sheetName val="4_BudgetSummary"/>
      <sheetName val="5_BrkEvenSensitivity"/>
      <sheetName val="6_CropComparisons"/>
    </sheetNames>
    <sheetDataSet>
      <sheetData sheetId="0"/>
      <sheetData sheetId="1"/>
      <sheetData sheetId="2">
        <row r="5">
          <cell r="H5">
            <v>3.6499999999999998E-2</v>
          </cell>
        </row>
      </sheetData>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42CBE42-AD48-44B6-9EAE-5C2B6BE5B0EC}" name="ConfigYield_AreaTimeTable" displayName="ConfigYield_AreaTimeTable" ref="B17:F22" totalsRowCount="1" headerRowDxfId="375" headerRowBorderDxfId="374" tableBorderDxfId="373" totalsRowBorderDxfId="372">
  <autoFilter ref="B17:F21" xr:uid="{1FD58206-62FB-44F9-80F1-CEA0A6882C49}">
    <filterColumn colId="0" hiddenButton="1"/>
    <filterColumn colId="1" hiddenButton="1"/>
    <filterColumn colId="2" hiddenButton="1"/>
    <filterColumn colId="3" hiddenButton="1"/>
    <filterColumn colId="4" hiddenButton="1"/>
  </autoFilter>
  <tableColumns count="5">
    <tableColumn id="1" xr3:uid="{85316953-8741-4068-A12A-9A674A76B432}" name="Activity" totalsRowLabel="Total" dataDxfId="371" totalsRowDxfId="96"/>
    <tableColumn id="2" xr3:uid="{F48F5CF3-D6A6-4896-AF07-B03B0EEE703E}" name="Area (Sq. Ft.)" dataDxfId="370" totalsRowDxfId="95"/>
    <tableColumn id="3" xr3:uid="{88B9E181-A5E9-470B-9C37-ABCC237A59E2}" name="Weeks/Turn" dataDxfId="369" totalsRowDxfId="94"/>
    <tableColumn id="4" xr3:uid="{C91783AD-F32F-4D3A-97A4-99768EA83744}" name="Total Weeks" totalsRowFunction="sum" dataDxfId="368" totalsRowDxfId="93">
      <calculatedColumnFormula>ConfigYield_AreaTimeTable[Weeks/Turn]*TurnsPerYear</calculatedColumnFormula>
    </tableColumn>
    <tableColumn id="5" xr3:uid="{32D3F689-AFBC-43BE-8A93-DECE80BA4B22}" name="SqFt-Weeks" totalsRowFunction="sum" dataDxfId="367" totalsRowDxfId="92">
      <calculatedColumnFormula>ConfigYield_AreaTimeTable[Area (Sq. Ft.)]*ConfigYield_AreaTimeTable[Total Weeks]</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27C2D16-F2E2-4993-858D-00CD82AF3306}" name="LaborDetail_UnpaidTable" displayName="LaborDetail_UnpaidTable" ref="B31:H36" totalsRowCount="1" headerRowDxfId="305" totalsRowDxfId="302" headerRowBorderDxfId="304" tableBorderDxfId="303" totalsRowBorderDxfId="301">
  <autoFilter ref="B31:H35" xr:uid="{7EADA7FB-3613-413E-A357-EB587DA44D8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69A197-C293-4435-9909-75CCBF88BB15}" name="Labor Activity" totalsRowLabel="Total" dataDxfId="300" totalsRowDxfId="47"/>
    <tableColumn id="2" xr3:uid="{EA01E496-2927-4B90-8AA5-DA9C68218529}" name="Column1" dataDxfId="299" totalsRowDxfId="46"/>
    <tableColumn id="3" xr3:uid="{BC79B1F3-94AB-4217-878B-4F7BF88BE89A}" name="Hours/Week" dataDxfId="298" totalsRowDxfId="45"/>
    <tableColumn id="4" xr3:uid="{995BC180-2A4B-4184-A640-9CEA2A662C16}" name="Value/Week" dataDxfId="297" totalsRowDxfId="44"/>
    <tableColumn id="5" xr3:uid="{C8A2D75E-746F-481B-955E-31F5C7831B39}" name="Number of Weeks" dataDxfId="296" totalsRowDxfId="43"/>
    <tableColumn id="7" xr3:uid="{4F472436-AC4E-4D9C-B7EE-428A05631B22}" name="Annual Hours" totalsRowFunction="sum" dataDxfId="295" totalsRowDxfId="42">
      <calculatedColumnFormula>LaborDetail_UnpaidTable[Hours/Week]*LaborDetail_UnpaidTable[Number of Weeks]</calculatedColumnFormula>
    </tableColumn>
    <tableColumn id="6" xr3:uid="{AB0AAE8C-A31F-4DB9-8BE7-ED4D6503B650}" name="Annual Value" totalsRowFunction="sum" dataDxfId="294" totalsRowDxfId="41">
      <calculatedColumnFormula>LaborDetail_UnpaidTable[Value/Week]*LaborDetail_UnpaidTable[Number of Weeks]</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D04A30F-2D89-4A6F-9376-02D16ED27661}" name="LaborDetail_HarvestPackCostTable" displayName="LaborDetail_HarvestPackCostTable" ref="B24:H28" totalsRowCount="1" headerRowDxfId="293" totalsRowDxfId="290" headerRowBorderDxfId="292" tableBorderDxfId="291" totalsRowBorderDxfId="289">
  <autoFilter ref="B24:H27" xr:uid="{A6B8857C-30B5-4501-B207-213F6AB7F2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F47261-C235-4BF3-9EAE-F179060DF1BB}" name="Labor Activity" totalsRowLabel="Total" dataDxfId="288" totalsRowDxfId="54"/>
    <tableColumn id="2" xr3:uid="{AD64C1C6-533C-4549-9C89-4AE28680BE85}" name="Labor Type" dataDxfId="287" totalsRowDxfId="53"/>
    <tableColumn id="3" xr3:uid="{5C18584F-B502-492E-B73D-D30E419FA454}" name="Hours/Week" dataDxfId="286" totalsRowDxfId="52"/>
    <tableColumn id="4" xr3:uid="{723B3CBC-ADB8-4ABD-86C4-A7E38B174A4C}" name="Cost/Week" dataDxfId="285" totalsRowDxfId="51">
      <calculatedColumnFormula>IF(ISBLANK(LaborDetail_HarvestPackCostTable[Hours/Week]),0,VLOOKUP(LaborDetail_HarvestPackCostTable[Labor Type],LaborDetail_RateTable[],5,FALSE)*LaborDetail_HarvestPackCostTable[Hours/Week])</calculatedColumnFormula>
    </tableColumn>
    <tableColumn id="5" xr3:uid="{355AD9C1-5374-46CE-A232-4274CFB638FA}" name="Number of Weeks" dataDxfId="284" totalsRowDxfId="50"/>
    <tableColumn id="6" xr3:uid="{4562B0FD-C2BC-432C-94A8-1536D1E80BC3}" name="Annual Hours" totalsRowFunction="sum" dataDxfId="283" totalsRowDxfId="49">
      <calculatedColumnFormula>+LaborDetail_HarvestPackCostTable[Hours/Week]*LaborDetail_HarvestPackCostTable[Number of Weeks]</calculatedColumnFormula>
    </tableColumn>
    <tableColumn id="7" xr3:uid="{9D35F49F-B2DA-4815-A2BD-FBF76CA744DF}" name="Annual Cost" totalsRowFunction="sum" dataDxfId="282" totalsRowDxfId="48">
      <calculatedColumnFormula>LaborDetail_HarvestPackCostTable[Cost/Week]*LaborDetail_HarvestPackCostTable[Number of Weeks]</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552C79-844A-4FFC-B56B-22717E382436}" name="FixedOverhead_GreenhouseTable" displayName="FixedOverhead_GreenhouseTable" ref="B8:L30" totalsRowCount="1" headerRowDxfId="281" totalsRowDxfId="278" headerRowBorderDxfId="280" tableBorderDxfId="279">
  <autoFilter ref="B8:L29" xr:uid="{65D989BB-D65B-4B5C-88AC-FE1AB8995F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D5DD1A5-C7F2-433E-9B3D-41ABB89D26E8}" name="Item" totalsRowLabel="Total" dataDxfId="277" totalsRowDxfId="40"/>
    <tableColumn id="2" xr3:uid="{882504AA-C13A-475C-AAD6-E24D6A32D1E3}" name="Original Cost" totalsRowFunction="sum" dataDxfId="276" totalsRowDxfId="39"/>
    <tableColumn id="3" xr3:uid="{D2621777-09C2-4238-8045-72B72ABE97F5}" name="Use Life (Years)" dataDxfId="275" totalsRowDxfId="38"/>
    <tableColumn id="4" xr3:uid="{A4B5051A-BC50-45B6-9715-D2DC5AF6DB7D}" name="Salvage Value" dataDxfId="274" totalsRowDxfId="37"/>
    <tableColumn id="5" xr3:uid="{82189CF7-6738-45D5-AC04-A2F65DD101AA}" name="Financed Portion" dataDxfId="273" totalsRowDxfId="36"/>
    <tableColumn id="6" xr3:uid="{00B5FD27-98B6-4B03-B115-DCB2A5CE8018}" name="Capital Recovery" totalsRowFunction="sum" dataDxfId="272" totalsRowDxfId="35">
      <calculatedColumnFormula>IF(ISBLANK(FixedOverhead_GreenhouseTable[Use Life (Years)]),0,PMT(AnnualInterestRate,FixedOverhead_GreenhouseTable[Use Life (Years)],-FixedOverhead_GreenhouseTable[Original Cost],FixedOverhead_GreenhouseTable[Salvage Value],0))</calculatedColumnFormula>
    </tableColumn>
    <tableColumn id="7" xr3:uid="{29C28ED8-C3BA-46A9-8122-7264212DC8D9}" name="Insurance" totalsRowFunction="sum" dataDxfId="271" totalsRowDxfId="34"/>
    <tableColumn id="8" xr3:uid="{5AF59ED2-EE05-43B6-85AA-2E98B5B7DD3B}" name="Taxes &amp; Fees" totalsRowFunction="sum" dataDxfId="270" totalsRowDxfId="33"/>
    <tableColumn id="9" xr3:uid="{49F0D55F-C9C7-4900-9AE6-BD451E8BC540}" name="Fixed Repairs" totalsRowFunction="sum" dataDxfId="269" totalsRowDxfId="32"/>
    <tableColumn id="10" xr3:uid="{DAD7F2DC-DCE4-41AF-907C-7C5C64E4E264}" name="Total  Noncash Cost" totalsRowFunction="sum" dataDxfId="268" totalsRowDxfId="31">
      <calculatedColumnFormula>FixedOverhead_GreenhouseTable[Capital Recovery]*(1-FixedOverhead_GreenhouseTable[Financed Portion])</calculatedColumnFormula>
    </tableColumn>
    <tableColumn id="11" xr3:uid="{D1C475E1-DF69-4211-BD3A-342CEF8E475A}" name="Total          Cash Cost" totalsRowFunction="sum" dataDxfId="267" totalsRowDxfId="30">
      <calculatedColumnFormula>FixedOverhead_GreenhouseTable[Insurance]+FixedOverhead_GreenhouseTable[Taxes &amp; Fees]+FixedOverhead_GreenhouseTable[Fixed Repairs]+(FixedOverhead_GreenhouseTable[Capital Recovery]*FixedOverhead_GreenhouseTable[Financed Portion])</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C435E47-47E7-43C7-8B42-4D186E421A9D}" name="FixedOverhead_EquipmentTable" displayName="FixedOverhead_EquipmentTable" ref="B34:L61" totalsRowCount="1" headerRowDxfId="266" totalsRowDxfId="263" headerRowBorderDxfId="265" tableBorderDxfId="264">
  <autoFilter ref="B34:L60" xr:uid="{CD052717-CEB7-453B-8D7B-94262D2CAA7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ADF8829-FB6F-4E4E-A54D-F08493475B65}" name="Item" totalsRowLabel="Total" dataDxfId="262" totalsRowDxfId="29"/>
    <tableColumn id="2" xr3:uid="{BCE52A0C-C31D-4B92-8152-DA036A91F6A3}" name="Original Cost" totalsRowFunction="sum" dataDxfId="261" totalsRowDxfId="28"/>
    <tableColumn id="3" xr3:uid="{05BFCABB-5DCD-4603-AD24-7516C10BB981}" name="Use Life (Years)" dataDxfId="260" totalsRowDxfId="27"/>
    <tableColumn id="4" xr3:uid="{7F584D87-0ACE-4F4C-AAAC-31DBFBDF080A}" name="Salvage Value" dataDxfId="259" totalsRowDxfId="26"/>
    <tableColumn id="5" xr3:uid="{68895748-C39A-4E7A-B5BC-7D7045654729}" name="Financed Portion" dataDxfId="258" totalsRowDxfId="25"/>
    <tableColumn id="6" xr3:uid="{AAE3D3B5-DFE2-4DC1-BAD9-10E390A043DC}" name="Capital Recovery" totalsRowFunction="sum" dataDxfId="257" totalsRowDxfId="24">
      <calculatedColumnFormula>IF(ISBLANK(FixedOverhead_EquipmentTable[Use Life (Years)]),0,PMT(AnnualInterestRate,FixedOverhead_EquipmentTable[Use Life (Years)],-FixedOverhead_EquipmentTable[Original Cost],FixedOverhead_EquipmentTable[Salvage Value],0))</calculatedColumnFormula>
    </tableColumn>
    <tableColumn id="7" xr3:uid="{354AEA83-22D4-4391-BA5D-2EA6C8A87935}" name="Insurance" totalsRowFunction="sum" dataDxfId="256" totalsRowDxfId="23"/>
    <tableColumn id="8" xr3:uid="{1AA9F178-E9A6-4CA9-95AC-07D202BF2F46}" name="Taxes &amp; Fees" totalsRowFunction="sum" dataDxfId="255" totalsRowDxfId="22"/>
    <tableColumn id="9" xr3:uid="{D32E75F4-0B51-4495-BDA8-A77D99DD6C93}" name="Fixed Repairs" totalsRowFunction="sum" dataDxfId="254" totalsRowDxfId="21"/>
    <tableColumn id="10" xr3:uid="{1C450F67-E00E-4218-B09E-3BF644F4932E}" name="Total  Noncash Cost" totalsRowFunction="sum" dataDxfId="253" totalsRowDxfId="20">
      <calculatedColumnFormula>FixedOverhead_EquipmentTable[Capital Recovery]*(1-FixedOverhead_EquipmentTable[Financed Portion])</calculatedColumnFormula>
    </tableColumn>
    <tableColumn id="11" xr3:uid="{9A4D2789-8500-4C91-BB25-47DD8134A9B5}" name="Total          Cash Cost" totalsRowFunction="sum" dataDxfId="252" totalsRowDxfId="19">
      <calculatedColumnFormula>FixedOverhead_EquipmentTable[Insurance]+FixedOverhead_EquipmentTable[Taxes &amp; Fees]+FixedOverhead_EquipmentTable[Fixed Repairs]+(FixedOverhead_EquipmentTable[Capital Recovery]*FixedOverhead_EquipmentTable[Financed Portion])</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DAA8C4-5496-4130-99D4-180B0CA7D01A}" name="FixedOverhead_GeneralTable" displayName="FixedOverhead_GeneralTable" ref="B65:L76" totalsRowCount="1" headerRowDxfId="251" totalsRowDxfId="248" headerRowBorderDxfId="250" tableBorderDxfId="249">
  <autoFilter ref="B65:L75" xr:uid="{52EAA70A-25E5-41F2-B2B6-4F3DD75AB8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91F1325-50B8-4398-87FE-43DD7B731C9E}" name="Item" totalsRowLabel="Total" dataDxfId="247" totalsRowDxfId="18"/>
    <tableColumn id="2" xr3:uid="{4EABC192-6DBD-4354-8978-132881E4185E}" name="Column1" dataDxfId="246" totalsRowDxfId="17"/>
    <tableColumn id="3" xr3:uid="{0B9C3D9C-2D42-4B01-9AF0-4868453E8582}" name="Column2" dataDxfId="245" totalsRowDxfId="16"/>
    <tableColumn id="4" xr3:uid="{3427B707-C7C2-4A64-ACC7-B7C640A2192D}" name="Column3" dataDxfId="244" totalsRowDxfId="15"/>
    <tableColumn id="5" xr3:uid="{F128B762-5ACA-4946-8565-78C90167DA6F}" name="Column4" dataDxfId="243" totalsRowDxfId="14"/>
    <tableColumn id="6" xr3:uid="{C88E535C-4A63-4422-897D-B4C2064E27AB}" name="Column5" dataDxfId="242" totalsRowDxfId="13"/>
    <tableColumn id="7" xr3:uid="{7BD5AFE3-F705-4894-A26F-A0A1451A9DCB}" name="Column6" dataDxfId="241" totalsRowDxfId="12"/>
    <tableColumn id="8" xr3:uid="{522BBA0D-9E83-4201-A3C2-F45BB2C73611}" name="Column7" dataDxfId="240" totalsRowDxfId="11"/>
    <tableColumn id="9" xr3:uid="{A2BDFE2F-15E1-414C-A8B6-E0C516268D7B}" name="Column8" dataDxfId="239" totalsRowDxfId="10"/>
    <tableColumn id="10" xr3:uid="{4B1D12EA-C494-443F-AB97-4EC12E23F511}" name="Total  Noncash Cost" totalsRowFunction="sum" dataDxfId="238" totalsRowDxfId="9"/>
    <tableColumn id="11" xr3:uid="{A1889445-AFFA-455D-AD87-812EB6F18AC2}" name="Total          Cash Cost" totalsRowFunction="sum" dataDxfId="237" totalsRowDxfId="8"/>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7278AC8-7788-4827-B20E-809B8CBF31CA}" name="VariableOverhead_EnergyRateTable" displayName="VariableOverhead_EnergyRateTable" ref="B5:D9" headerRowDxfId="236" dataDxfId="234" headerRowBorderDxfId="235" tableBorderDxfId="233" totalsRowBorderDxfId="232">
  <autoFilter ref="B5:D9" xr:uid="{D9804091-BEEF-4E5D-BC10-257836764355}">
    <filterColumn colId="0" hiddenButton="1"/>
    <filterColumn colId="1" hiddenButton="1"/>
    <filterColumn colId="2" hiddenButton="1"/>
  </autoFilter>
  <tableColumns count="3">
    <tableColumn id="1" xr3:uid="{2645660D-BAD5-4F73-986B-9BB56E0BDFBF}" name="Energy Source" totalsRowLabel="Total" dataDxfId="231" totalsRowDxfId="230"/>
    <tableColumn id="2" xr3:uid="{D0465413-907E-448B-8885-D17DD2702B5B}" name="Unit" dataDxfId="229" totalsRowDxfId="228"/>
    <tableColumn id="3" xr3:uid="{F297817D-1709-4BBB-8A5C-F5587EE73B27}" name="Cost per Unit" totalsRowFunction="sum" dataDxfId="227"/>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00BD291-07E2-40B1-AB24-42389BB2036B}" name="VariableOverhead_EquipOpTable" displayName="VariableOverhead_EquipOpTable" ref="B12:I20" totalsRowCount="1" headerRowDxfId="226" totalsRowDxfId="223" headerRowBorderDxfId="225" tableBorderDxfId="224">
  <autoFilter ref="B12:I19" xr:uid="{8A13E827-D55A-4308-B05B-434598DF37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7105BC3-DAAD-4DFA-AB32-2F4C61412F30}" name="Item" totalsRowLabel="Total Annual Costs" dataDxfId="222" totalsRowDxfId="7"/>
    <tableColumn id="2" xr3:uid="{1FD0F2BF-0393-4615-8ABF-7C7F4B09D35A}" name="Power Source" dataDxfId="221" totalsRowDxfId="6"/>
    <tableColumn id="3" xr3:uid="{C7E3EFFF-80DE-4752-9197-C51B53D1EB96}" name="Electricity Cost/Week" totalsRowFunction="custom" dataDxfId="220" totalsRowDxfId="5">
      <totalsRowFormula>SUMPRODUCT(D13:D19,H13:H19)</totalsRowFormula>
    </tableColumn>
    <tableColumn id="4" xr3:uid="{B03F32F3-8CA8-451D-9B3D-4F7A8FB08FCE}" name="Fuel Cost/Week" totalsRowFunction="custom" dataDxfId="219" totalsRowDxfId="4">
      <totalsRowFormula>SUMPRODUCT(E13:E19,H13:H19)</totalsRowFormula>
    </tableColumn>
    <tableColumn id="5" xr3:uid="{52240539-E771-483F-B880-CDC7CFFBAEB1}" name="Repair Cost/Week" totalsRowFunction="custom" dataDxfId="218" totalsRowDxfId="3">
      <totalsRowFormula>SUMPRODUCT(F13:F19,H13:H19)</totalsRowFormula>
    </tableColumn>
    <tableColumn id="6" xr3:uid="{09ED3560-1DD9-4004-A5C4-7AB4EB2DD056}" name="Total Cost/Week" totalsRowFunction="sum" dataDxfId="217" totalsRowDxfId="2">
      <calculatedColumnFormula>VariableOverhead_EquipOpTable[Electricity Cost/Week]+VariableOverhead_EquipOpTable[Fuel Cost/Week]+VariableOverhead_EquipOpTable[Repair Cost/Week]</calculatedColumnFormula>
    </tableColumn>
    <tableColumn id="7" xr3:uid="{526A7A38-858F-46FC-8138-E31615874E6B}" name="Operating Weeks" dataDxfId="216" totalsRowDxfId="1"/>
    <tableColumn id="8" xr3:uid="{928CCD32-7039-4851-BE95-67472FDCF200}" name="Annual Operating Cost" totalsRowFunction="sum" dataDxfId="215" totalsRowDxfId="0">
      <calculatedColumnFormula>VariableOverhead_EquipOpTable[Total Cost/Week]*VariableOverhead_EquipOpTable[Operating Weeks]</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1CF1783-8EA5-4A99-B46D-E6DD2525D857}" name="PB_AdditionalRevenueTable" displayName="PB_AdditionalRevenueTable" ref="B8:F12" totalsRowCount="1" totalsRowDxfId="212" headerRowBorderDxfId="214" tableBorderDxfId="213" totalsRowBorderDxfId="211">
  <autoFilter ref="B8:F11" xr:uid="{2DF3D94F-8ED1-4C31-94D5-D64D161A0086}">
    <filterColumn colId="0" hiddenButton="1"/>
    <filterColumn colId="1" hiddenButton="1"/>
    <filterColumn colId="2" hiddenButton="1"/>
    <filterColumn colId="3" hiddenButton="1"/>
    <filterColumn colId="4" hiddenButton="1"/>
  </autoFilter>
  <tableColumns count="5">
    <tableColumn id="1" xr3:uid="{CB869150-7ECD-411B-95F3-A0AB4E382206}" name="Additional Revenue Items (Production/Products/Grades)" totalsRowLabel="Total" dataDxfId="210" totalsRowDxfId="209"/>
    <tableColumn id="2" xr3:uid="{71BA9B55-0BD3-475F-8C62-9901E4A0FD48}" name="Unit" dataDxfId="208" totalsRowDxfId="207"/>
    <tableColumn id="3" xr3:uid="{D52D83C1-46E4-485B-A752-8CE93B2ADEA4}" name="Revenue/Unit" dataDxfId="206" totalsRowDxfId="205"/>
    <tableColumn id="4" xr3:uid="{6B603B16-238F-46AB-BF37-86000EEF3A5C}" name="Quantity" dataDxfId="204" totalsRowDxfId="203"/>
    <tableColumn id="5" xr3:uid="{84E445B8-DB2F-4FA6-8BE3-1CBF4D567DF4}" name="Additional Revenue" totalsRowFunction="sum" dataDxfId="202" totalsRowDxfId="201">
      <calculatedColumnFormula>PB_AdditionalRevenueTable[Revenue/Unit]*PB_AdditionalRevenueTable[Quantity]</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FBD33B5-727C-42A4-8E6D-FFB7CBD1B548}" name="PB_ReducedRevenueTable" displayName="PB_ReducedRevenueTable" ref="B13:F17" totalsRowCount="1" totalsRowDxfId="198" headerRowBorderDxfId="200" tableBorderDxfId="199" totalsRowBorderDxfId="197">
  <autoFilter ref="B13:F16" xr:uid="{A3067A2E-60A7-4AD5-B7A5-7BC339915A0C}">
    <filterColumn colId="0" hiddenButton="1"/>
    <filterColumn colId="1" hiddenButton="1"/>
    <filterColumn colId="2" hiddenButton="1"/>
    <filterColumn colId="3" hiddenButton="1"/>
    <filterColumn colId="4" hiddenButton="1"/>
  </autoFilter>
  <tableColumns count="5">
    <tableColumn id="1" xr3:uid="{F98AE99F-AA3F-48B8-A822-628EDB4A9FE6}" name="Reduced Revenue Items (Production/Products/Grades)" totalsRowLabel="Total" dataDxfId="196" totalsRowDxfId="195"/>
    <tableColumn id="2" xr3:uid="{2D1E8A06-F832-4FB2-8AA0-6CFDE987EEF3}" name="Unit" dataDxfId="194" totalsRowDxfId="193"/>
    <tableColumn id="3" xr3:uid="{AB151EE0-A2F2-47F6-9A63-B239F51F53D6}" name="Revenue/Unit" dataDxfId="192" totalsRowDxfId="191"/>
    <tableColumn id="4" xr3:uid="{8FF0508C-E7B9-443A-B255-8F7D4B7CF1BF}" name="Quantity" dataDxfId="190" totalsRowDxfId="189"/>
    <tableColumn id="5" xr3:uid="{618AF743-4346-4E88-AF13-18F957AC1660}" name="Reduced Revenue/Acre" totalsRowFunction="sum" dataDxfId="188" totalsRowDxfId="187">
      <calculatedColumnFormula>PB_ReducedRevenueTable[Revenue/Unit]*PB_ReducedRevenueTable[Quantity]</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FE542E1-F71E-4406-974A-C1E6E4EF0949}" name="PB_MaterialsTable" displayName="PB_MaterialsTable" ref="B22:F29" totalsRowCount="1" headerRowDxfId="186" totalsRowDxfId="183" headerRowBorderDxfId="185" tableBorderDxfId="184" totalsRowBorderDxfId="182">
  <autoFilter ref="B22:F28" xr:uid="{1FC65647-39A8-4932-8AB6-7FE4509DB553}">
    <filterColumn colId="0" hiddenButton="1"/>
    <filterColumn colId="1" hiddenButton="1"/>
    <filterColumn colId="2" hiddenButton="1"/>
    <filterColumn colId="3" hiddenButton="1"/>
    <filterColumn colId="4" hiddenButton="1"/>
  </autoFilter>
  <tableColumns count="5">
    <tableColumn id="1" xr3:uid="{832D7EE9-159B-4E13-A734-F5223B466BB5}" name="Materials" totalsRowLabel="Total" dataDxfId="181"/>
    <tableColumn id="2" xr3:uid="{DEB04919-B694-4BDB-8034-4AC18704BAC5}" name="Column1" dataDxfId="180"/>
    <tableColumn id="3" xr3:uid="{1E104E61-CD53-4DCA-92B7-1A2FAAE5CE53}" name="Additional Cost" totalsRowFunction="sum" dataDxfId="179" totalsRowDxfId="178"/>
    <tableColumn id="4" xr3:uid="{C5F073B2-C529-4417-8F1F-347929939514}" name="Reduced Cost" totalsRowFunction="sum" dataDxfId="177" totalsRowDxfId="176"/>
    <tableColumn id="5" xr3:uid="{FE3F0B66-B61B-4AC5-BA8E-E32459387B47}" name="Net Change" totalsRowFunction="sum" dataDxfId="175" totalsRowDxfId="174">
      <calculatedColumnFormula>PB_MaterialsTable[Additional Cost]-PB_MaterialsTable[Reduced Cost]</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B33D007-4E9C-45C5-970E-3181DD083B51}" name="MaterialsDetail_TransplantTable" displayName="MaterialsDetail_TransplantTable" ref="B5:F11" totalsRowCount="1" headerRowDxfId="366" totalsRowDxfId="365">
  <autoFilter ref="B5:F10" xr:uid="{F28DDFFB-3F8E-4B17-9328-59346A7ADBF6}">
    <filterColumn colId="0" hiddenButton="1"/>
    <filterColumn colId="1" hiddenButton="1"/>
    <filterColumn colId="2" hiddenButton="1"/>
    <filterColumn colId="3" hiddenButton="1"/>
    <filterColumn colId="4" hiddenButton="1"/>
  </autoFilter>
  <tableColumns count="5">
    <tableColumn id="1" xr3:uid="{936D86C8-461C-41EB-9659-468A905EA375}" name="Item" totalsRowLabel="Total" dataDxfId="364" totalsRowDxfId="91"/>
    <tableColumn id="2" xr3:uid="{5D25BB94-7E4B-4ADE-9D4A-D77B8F0F5910}" name="Unit" dataDxfId="363" totalsRowDxfId="90"/>
    <tableColumn id="3" xr3:uid="{9DF268E8-C252-4124-A11C-4C5C167EFBAB}" name="Cost/Unit" dataDxfId="362" totalsRowDxfId="89"/>
    <tableColumn id="4" xr3:uid="{516A44D8-559A-4A3C-A316-47BAF6EFBBAF}" name="Quantity" dataDxfId="361" totalsRowDxfId="88"/>
    <tableColumn id="6" xr3:uid="{89DFF495-E6BB-48F0-8FEB-05BC48308A0C}" name="Annual Cost" totalsRowFunction="sum" dataDxfId="360" totalsRowDxfId="87">
      <calculatedColumnFormula>MaterialsDetail_TransplantTable[Cost/Unit]*MaterialsDetail_TransplantTable[Quantity]</calculatedColumnFormula>
    </tableColumn>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64916CC-0AFA-4869-ACB3-0D9F4B883740}" name="PB_LaborTable" displayName="PB_LaborTable" ref="B30:F35" totalsRowCount="1" tableBorderDxfId="173">
  <autoFilter ref="B30:F34" xr:uid="{28EA085D-1124-41ED-9612-5F26C9E2521E}">
    <filterColumn colId="0" hiddenButton="1"/>
    <filterColumn colId="1" hiddenButton="1"/>
    <filterColumn colId="2" hiddenButton="1"/>
    <filterColumn colId="3" hiddenButton="1"/>
    <filterColumn colId="4" hiddenButton="1"/>
  </autoFilter>
  <tableColumns count="5">
    <tableColumn id="1" xr3:uid="{BEEFA783-CCBA-4213-8E3D-16E9F6822BDD}" name="Labor" totalsRowLabel="Total" dataDxfId="172" totalsRowDxfId="171"/>
    <tableColumn id="2" xr3:uid="{241BFB36-B639-40AF-B52E-4A30EB5C663E}" name="Column1" dataDxfId="170" totalsRowDxfId="169"/>
    <tableColumn id="3" xr3:uid="{E410B2EF-0E3A-4467-A641-4002479F9235}" name="Additional Cost" totalsRowFunction="sum" dataDxfId="168" totalsRowDxfId="167"/>
    <tableColumn id="4" xr3:uid="{4D8EC99C-E9BB-470A-BBD4-04B14CD8EACB}" name="Reduced Cost" totalsRowFunction="sum" dataDxfId="166" totalsRowDxfId="165"/>
    <tableColumn id="5" xr3:uid="{D6B1F3F8-BBDF-4E0E-85F7-18ADCCD4A273}" name="Net Change" totalsRowFunction="sum" dataDxfId="164" totalsRowDxfId="163">
      <calculatedColumnFormula>PB_LaborTable[Additional Cost]*PB_LaborTable[Reduced Cost]</calculatedColumnFormula>
    </tableColum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5405612-848D-4FE0-9F0B-5DF846D76D47}" name="PB_EquipOpTable" displayName="PB_EquipOpTable" ref="B36:F40" totalsRowCount="1" headerRowDxfId="162" totalsRowDxfId="160" tableBorderDxfId="161">
  <autoFilter ref="B36:F39" xr:uid="{510BF146-CABF-4F14-A40A-84E2AABDEBE9}">
    <filterColumn colId="0" hiddenButton="1"/>
    <filterColumn colId="1" hiddenButton="1"/>
    <filterColumn colId="2" hiddenButton="1"/>
    <filterColumn colId="3" hiddenButton="1"/>
    <filterColumn colId="4" hiddenButton="1"/>
  </autoFilter>
  <tableColumns count="5">
    <tableColumn id="1" xr3:uid="{EDB9A8A9-4D9A-4834-9CA6-8D6ABFEBCBDD}" name="Equipment Operating Costs" totalsRowLabel="Total" dataDxfId="159" totalsRowDxfId="158"/>
    <tableColumn id="2" xr3:uid="{9B9E8E17-8EDB-4F4C-837D-55713D0446A7}" name="Column1" dataDxfId="157" totalsRowDxfId="156"/>
    <tableColumn id="3" xr3:uid="{D996D613-3564-4D8B-B4EE-CF4CA7357962}" name="Additional Cost" totalsRowFunction="sum" dataDxfId="155" totalsRowDxfId="154"/>
    <tableColumn id="4" xr3:uid="{FF9894E0-3E47-41C3-BF19-D82CFF8ED049}" name="Reduced Cost" totalsRowFunction="sum" dataDxfId="153" totalsRowDxfId="152"/>
    <tableColumn id="5" xr3:uid="{8AB3F3BC-44DA-4E9B-AC36-0BA34F8889F4}" name="Net Change" totalsRowFunction="sum" dataDxfId="151" totalsRowDxfId="150">
      <calculatedColumnFormula>PB_EquipOpTable[Additional Cost]*PB_EquipOpTable[Reduced Cost]</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148D84C-7AF8-416D-8255-460BC57C0288}" name="PB_AdditionalOwnershipTable" displayName="PB_AdditionalOwnershipTable" ref="B50:L54" totalsRowCount="1" headerRowDxfId="149" totalsRowDxfId="146" headerRowBorderDxfId="148" tableBorderDxfId="147" totalsRowBorderDxfId="145">
  <autoFilter ref="B50:L53" xr:uid="{E33B9F6C-9177-4441-A627-57F2E791C1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4D848FB-8C4F-4395-A0A3-369CCFCEF913}" name="Additional Items" totalsRowLabel="Total" dataDxfId="144"/>
    <tableColumn id="2" xr3:uid="{45FA311B-336B-491A-ADAB-201EFBCC9D02}" name="Original Cost" totalsRowFunction="sum" dataDxfId="143" totalsRowDxfId="142"/>
    <tableColumn id="3" xr3:uid="{D9C8F429-C6AD-4704-8B48-84B8E2B037D3}" name="Use Life (Years)" dataDxfId="141" totalsRowDxfId="140"/>
    <tableColumn id="4" xr3:uid="{2AEA5B79-0C78-44FA-B7FC-A078D9C706A0}" name="Salvage Value" dataDxfId="139" totalsRowDxfId="138"/>
    <tableColumn id="5" xr3:uid="{359FB808-1401-4BA7-9906-9C9FC68E3C37}" name="Financed Portion" dataDxfId="137" totalsRowDxfId="136"/>
    <tableColumn id="6" xr3:uid="{46A21DEF-0A0E-4AC0-9939-6884A406508F}" name="Capital Recovery" totalsRowFunction="sum" dataDxfId="135" totalsRowDxfId="134">
      <calculatedColumnFormula>IF(ISBLANK(PB_AdditionalOwnershipTable[Use Life (Years)]),0,PMT(AnnualInterestRate,PB_AdditionalOwnershipTable[Use Life (Years)],-PB_AdditionalOwnershipTable[Original Cost],PB_AdditionalOwnershipTable[Salvage Value],0))</calculatedColumnFormula>
    </tableColumn>
    <tableColumn id="7" xr3:uid="{9AEEF5DA-9A17-4FAD-B8E2-40C5359850BD}" name="Insurance" totalsRowFunction="sum" dataDxfId="133" totalsRowDxfId="132"/>
    <tableColumn id="8" xr3:uid="{F1C26FB9-C2BF-4495-AD4B-848F83C1238D}" name="Taxes &amp; Fees" totalsRowFunction="sum" dataDxfId="131" totalsRowDxfId="130"/>
    <tableColumn id="9" xr3:uid="{B654F9CD-0013-4815-ABD6-221FEB75974D}" name="Fixed Repairs" totalsRowFunction="sum" dataDxfId="129" totalsRowDxfId="128"/>
    <tableColumn id="10" xr3:uid="{E8EEAE8C-9435-46EA-8884-6DCC8521499E}" name="Total  Noncash Cost" totalsRowFunction="sum" dataDxfId="127" totalsRowDxfId="126">
      <calculatedColumnFormula>PB_AdditionalOwnershipTable[Capital Recovery]*(1-PB_AdditionalOwnershipTable[Financed Portion])</calculatedColumnFormula>
    </tableColumn>
    <tableColumn id="11" xr3:uid="{141D13FB-488B-4B6B-B4E7-22A971567F65}" name="Total          Cash Cost" totalsRowFunction="sum" dataDxfId="125" totalsRowDxfId="124">
      <calculatedColumnFormula>PB_AdditionalOwnershipTable[Insurance]+PB_AdditionalOwnershipTable[Taxes &amp; Fees]+PB_AdditionalOwnershipTable[Fixed Repairs]+(PB_AdditionalOwnershipTable[Capital Recovery]*PB_AdditionalOwnershipTable[Financed Portion])</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529D1D6-90BC-40FD-912C-7CB46E6EFB4A}" name="PB_ReducedOwnershipTable" displayName="PB_ReducedOwnershipTable" ref="B55:L59" totalsRowCount="1" headerRowDxfId="123" totalsRowDxfId="120" headerRowBorderDxfId="122" tableBorderDxfId="121" totalsRowBorderDxfId="119">
  <autoFilter ref="B55:L58" xr:uid="{4537C8C0-7283-475C-8BCA-736A2C700E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B710727-F1FC-44FD-937F-4F25D62B84D6}" name="Reduced Items" totalsRowLabel="Total" dataDxfId="118" totalsRowDxfId="117"/>
    <tableColumn id="2" xr3:uid="{7654315B-5050-4FBF-917C-0421DF164A61}" name="Original Cost" totalsRowFunction="sum" dataDxfId="116" totalsRowDxfId="115"/>
    <tableColumn id="3" xr3:uid="{F1AC9212-264C-404F-85F8-30E9A675F5AB}" name="Use Life (Years)" dataDxfId="114" totalsRowDxfId="113"/>
    <tableColumn id="4" xr3:uid="{FFAAA248-579E-4A98-8285-FC87C11C1775}" name="Salvage Value" dataDxfId="112" totalsRowDxfId="111"/>
    <tableColumn id="5" xr3:uid="{EABE9170-A539-46F5-AEE2-16D9A382FE94}" name="Financed Portion" dataDxfId="110" totalsRowDxfId="109"/>
    <tableColumn id="6" xr3:uid="{E792973D-8E64-4A66-AD16-93CB742C2010}" name="Capital Recovery" totalsRowFunction="sum" dataDxfId="108" totalsRowDxfId="107">
      <calculatedColumnFormula>IF(ISBLANK(PB_ReducedOwnershipTable[Use Life (Years)]),0,PMT(AnnualInterestRate,PB_ReducedOwnershipTable[Use Life (Years)],-PB_ReducedOwnershipTable[Original Cost],PB_ReducedOwnershipTable[Salvage Value],0))</calculatedColumnFormula>
    </tableColumn>
    <tableColumn id="7" xr3:uid="{91B6F993-54EB-4AC1-97E7-B5348E21BC66}" name="Insurance" totalsRowFunction="sum" dataDxfId="106" totalsRowDxfId="105"/>
    <tableColumn id="8" xr3:uid="{4945BC00-FB9D-4C8D-BF1D-4537B09A169E}" name="Taxes &amp; Fees" totalsRowFunction="sum" dataDxfId="104" totalsRowDxfId="103"/>
    <tableColumn id="9" xr3:uid="{3EDE40F3-EF1B-4022-BCB5-4045D12C1B0A}" name="Fixed Repairs" totalsRowFunction="sum" dataDxfId="102" totalsRowDxfId="101"/>
    <tableColumn id="10" xr3:uid="{80181424-E75C-4792-8B19-CAB02EF78C32}" name="Total  Noncash Cost" totalsRowFunction="sum" dataDxfId="100" totalsRowDxfId="99">
      <calculatedColumnFormula>PB_ReducedOwnershipTable[Capital Recovery]*(1-PB_ReducedOwnershipTable[Financed Portion])</calculatedColumnFormula>
    </tableColumn>
    <tableColumn id="11" xr3:uid="{9D7A5925-8775-4DFE-83E4-3384B624F757}" name="Total          Cash Cost" totalsRowFunction="sum" dataDxfId="98" totalsRowDxfId="97">
      <calculatedColumnFormula>PB_ReducedOwnershipTable[Insurance]+PB_ReducedOwnershipTable[Taxes &amp; Fees]+PB_ReducedOwnershipTable[Fixed Repairs]+(PB_ReducedOwnershipTable[Capital Recovery]*PB_ReducedOwnershipTable[Financed Portion])</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CD09032-2BB3-43B1-AD82-E12346D9E3C2}" name="MaterialsDetail_MediaTable" displayName="MaterialsDetail_MediaTable" ref="B14:F19" totalsRowCount="1" headerRowDxfId="359" totalsRowDxfId="358">
  <autoFilter ref="B14:F18" xr:uid="{B0BBE6D2-202C-4322-A881-BBA7D45FF7D3}">
    <filterColumn colId="0" hiddenButton="1"/>
    <filterColumn colId="1" hiddenButton="1"/>
    <filterColumn colId="2" hiddenButton="1"/>
    <filterColumn colId="3" hiddenButton="1"/>
    <filterColumn colId="4" hiddenButton="1"/>
  </autoFilter>
  <tableColumns count="5">
    <tableColumn id="1" xr3:uid="{6649CC7E-9A6E-463B-B626-B8E2A38F7110}" name="Item" totalsRowLabel="Total" dataDxfId="357" totalsRowDxfId="86"/>
    <tableColumn id="2" xr3:uid="{2D270B32-A816-4FB3-B169-3845091D9213}" name="Unit" dataDxfId="356" totalsRowDxfId="85"/>
    <tableColumn id="3" xr3:uid="{BD3EC6A6-7BEA-4F0F-AC27-12E0CAE6020A}" name="Cost/Unit" dataDxfId="355" totalsRowDxfId="84"/>
    <tableColumn id="4" xr3:uid="{65510B2A-FA30-473D-A474-96622A80A8AC}" name="Quantity" dataDxfId="354" totalsRowDxfId="83"/>
    <tableColumn id="5" xr3:uid="{49F57D7B-68F3-48AA-ACB3-4C77939B7A23}" name="Annual Cost" totalsRowFunction="sum" dataDxfId="353" totalsRowDxfId="82">
      <calculatedColumnFormula>MaterialsDetail_MediaTable[Cost/Unit]*MaterialsDetail_MediaTable[Quantity]</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33D7EF9-DA6A-44C9-9F1E-29EA0B03F26F}" name="MaterialsDetail_FertilizerTable" displayName="MaterialsDetail_FertilizerTable" ref="B22:F33" totalsRowCount="1" headerRowDxfId="352">
  <autoFilter ref="B22:F32" xr:uid="{1B3C2660-2536-4D06-B6FA-33A148E07D4A}">
    <filterColumn colId="0" hiddenButton="1"/>
    <filterColumn colId="1" hiddenButton="1"/>
    <filterColumn colId="2" hiddenButton="1"/>
    <filterColumn colId="3" hiddenButton="1"/>
    <filterColumn colId="4" hiddenButton="1"/>
  </autoFilter>
  <tableColumns count="5">
    <tableColumn id="1" xr3:uid="{EE85C3C7-6A46-4A99-A5B0-6037B2BED735}" name="Item" totalsRowLabel="Total" dataDxfId="351" totalsRowDxfId="81"/>
    <tableColumn id="2" xr3:uid="{5FDAE757-D216-4E40-9700-6A47D6970F12}" name="Unit" dataDxfId="350" totalsRowDxfId="80"/>
    <tableColumn id="3" xr3:uid="{B874BADA-9400-446D-870C-054965FB5F67}" name="Cost/Unit" dataDxfId="349" totalsRowDxfId="79"/>
    <tableColumn id="4" xr3:uid="{440FC2E8-2741-49E4-BBF2-1E8EC665B65C}" name="Quantity" dataDxfId="348" totalsRowDxfId="78"/>
    <tableColumn id="5" xr3:uid="{E387D949-0A84-4198-A2D5-927187BCA5F7}" name="Annual Cost" totalsRowFunction="sum" dataDxfId="347" totalsRowDxfId="77">
      <calculatedColumnFormula>MaterialsDetail_FertilizerTable[Cost/Unit]*MaterialsDetail_FertilizerTable[Quantity]</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592108A-1F2C-49C8-8E58-E7DEE6D09071}" name="MaterialsDetail_PestMgtTable" displayName="MaterialsDetail_PestMgtTable" ref="B36:F45" totalsRowCount="1" headerRowDxfId="346" totalsRowDxfId="345">
  <autoFilter ref="B36:F44" xr:uid="{AA62E61A-7854-41BD-BAA7-2448ED1A5F6E}">
    <filterColumn colId="0" hiddenButton="1"/>
    <filterColumn colId="1" hiddenButton="1"/>
    <filterColumn colId="2" hiddenButton="1"/>
    <filterColumn colId="3" hiddenButton="1"/>
    <filterColumn colId="4" hiddenButton="1"/>
  </autoFilter>
  <tableColumns count="5">
    <tableColumn id="1" xr3:uid="{F61A79D6-F2DE-4C11-B78C-6E14FE3A347B}" name="Item" totalsRowLabel="Total" dataDxfId="344" totalsRowDxfId="76"/>
    <tableColumn id="2" xr3:uid="{117A1C60-C2B5-4FB2-8A6E-106A74C72689}" name="Unit" dataDxfId="343" totalsRowDxfId="75"/>
    <tableColumn id="3" xr3:uid="{BBE81D28-15B8-4CEC-AC80-DBA4BB197414}" name="Cost/Unit" dataDxfId="342" totalsRowDxfId="74"/>
    <tableColumn id="4" xr3:uid="{9E3C344B-B03E-468D-B3BD-AC84D22DDEAC}" name="Quantity" dataDxfId="341" totalsRowDxfId="73"/>
    <tableColumn id="5" xr3:uid="{C3C96192-6EA3-4EFE-9736-853023E76C92}" name="Annual Cost" totalsRowFunction="sum" dataDxfId="340" totalsRowDxfId="72">
      <calculatedColumnFormula>MaterialsDetail_PestMgtTable[Cost/Unit]*MaterialsDetail_PestMgtTable[Quantity]</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A107C9A-55B6-4A05-8B4A-FEFA841ABD6B}" name="MaterialsDetail_OtherTable" displayName="MaterialsDetail_OtherTable" ref="B48:F53" totalsRowCount="1" headerRowDxfId="339" totalsRowDxfId="338">
  <autoFilter ref="B48:F52" xr:uid="{B0A445D6-8597-457C-9F91-92A41CE4ABF4}">
    <filterColumn colId="0" hiddenButton="1"/>
    <filterColumn colId="1" hiddenButton="1"/>
    <filterColumn colId="2" hiddenButton="1"/>
    <filterColumn colId="3" hiddenButton="1"/>
    <filterColumn colId="4" hiddenButton="1"/>
  </autoFilter>
  <tableColumns count="5">
    <tableColumn id="1" xr3:uid="{70C9F83A-1C98-4621-AEDF-79E736F3F8E8}" name="Item" totalsRowLabel="Total" dataDxfId="337" totalsRowDxfId="71"/>
    <tableColumn id="2" xr3:uid="{DC54524A-7B75-4F15-9A71-0F961480BF8F}" name="Unit" dataDxfId="336" totalsRowDxfId="70"/>
    <tableColumn id="3" xr3:uid="{ADAA5E22-13DF-47FB-9A65-381C735B41E3}" name="Cost/Unit" dataDxfId="335" totalsRowDxfId="69"/>
    <tableColumn id="4" xr3:uid="{EE9ABD14-D1D3-4580-B8E2-18797DA20C1E}" name="Quantity" dataDxfId="334" totalsRowDxfId="68"/>
    <tableColumn id="5" xr3:uid="{27BF5600-F514-4761-9C84-FA8EBA3ADDE8}" name="Annual Cost" totalsRowFunction="sum" dataDxfId="333" totalsRowDxfId="67">
      <calculatedColumnFormula>MaterialsDetail_OtherTable[Cost/Unit]*MaterialsDetail_OtherTable[Quantity]</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1A67164-BA9B-4B8E-B65B-43EBFF86F4CB}" name="MaterialsDetail_Marketing" displayName="MaterialsDetail_Marketing" ref="B56:F61" totalsRowCount="1" headerRowDxfId="332" totalsRowDxfId="331">
  <autoFilter ref="B56:F60" xr:uid="{41A71B00-0EFF-418C-80DA-37688BC16AC9}">
    <filterColumn colId="0" hiddenButton="1"/>
    <filterColumn colId="1" hiddenButton="1"/>
    <filterColumn colId="2" hiddenButton="1"/>
    <filterColumn colId="3" hiddenButton="1"/>
    <filterColumn colId="4" hiddenButton="1"/>
  </autoFilter>
  <tableColumns count="5">
    <tableColumn id="1" xr3:uid="{A6AD7497-9A1E-4AA5-94E4-98B6A7EFF424}" name="Item" totalsRowLabel="Total" dataDxfId="330" totalsRowDxfId="66"/>
    <tableColumn id="2" xr3:uid="{920F305F-89D1-40A4-A3F4-4450C21017BB}" name="Unit" dataDxfId="329" totalsRowDxfId="65"/>
    <tableColumn id="3" xr3:uid="{744D4E10-42AF-4681-8BBF-BB7B2486A4AF}" name="Cost/Unit" dataDxfId="328" totalsRowDxfId="64"/>
    <tableColumn id="4" xr3:uid="{F7FBEBC0-7751-4B53-AC81-0D5E20AD4ECC}" name="Quantity" dataDxfId="327" totalsRowDxfId="63"/>
    <tableColumn id="5" xr3:uid="{F17C1BCB-3AC2-4E1D-BEC5-19ABA1ABFB77}" name="Annual Cost" totalsRowFunction="sum" dataDxfId="326" totalsRowDxfId="62">
      <calculatedColumnFormula>MaterialsDetail_Marketing[Cost/Unit]*MaterialsDetail_Marketing[Quantity]</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D9659B4-3E18-4836-AD9C-2A1A743AB5C9}" name="LaborDetail_RateTable" displayName="LaborDetail_RateTable" ref="B5:F8" totalsRowShown="0" headerRowDxfId="325" headerRowBorderDxfId="324" tableBorderDxfId="323" totalsRowBorderDxfId="322">
  <autoFilter ref="B5:F8" xr:uid="{0DC2855E-A0E7-4A85-99D2-FE9CF33728D2}">
    <filterColumn colId="0" hiddenButton="1"/>
    <filterColumn colId="1" hiddenButton="1"/>
    <filterColumn colId="2" hiddenButton="1"/>
    <filterColumn colId="3" hiddenButton="1"/>
    <filterColumn colId="4" hiddenButton="1"/>
  </autoFilter>
  <tableColumns count="5">
    <tableColumn id="1" xr3:uid="{02A8CFD8-35FF-4116-9ADE-69E4562D047F}" name="Labor Type" dataDxfId="321"/>
    <tableColumn id="2" xr3:uid="{2C22CDCA-CB7C-45AE-AD56-7DE4B28F1E18}" name="Unit" dataDxfId="320"/>
    <tableColumn id="3" xr3:uid="{030DB75D-4192-4383-975B-789D6E860064}" name="Worker Wage" dataDxfId="319"/>
    <tableColumn id="4" xr3:uid="{718EF70B-0008-4366-A944-A48418A8FBCC}" name="Payroll Overhead" dataDxfId="318"/>
    <tableColumn id="5" xr3:uid="{D6F790A9-FB7A-4530-B922-7627E707CA8F}" name="Total Wage Rate" dataDxfId="317">
      <calculatedColumnFormula>LaborDetail_RateTable[Worker Wage]*(1+LaborDetail_RateTable[Payroll Overhead])</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F885145-4DEC-4DC0-A23A-A84445153250}" name="LaborDetail_ProductionCostTable" displayName="LaborDetail_ProductionCostTable" ref="B11:H21" totalsRowCount="1" headerRowDxfId="316" totalsRowDxfId="313" headerRowBorderDxfId="315" tableBorderDxfId="314">
  <autoFilter ref="B11:H20" xr:uid="{439B96DB-0F89-46A0-AB9A-42D99744599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32AC977-A4D2-4437-B01F-053455328DF7}" name="Labor Activity" totalsRowLabel="Total Annual" dataDxfId="312" totalsRowDxfId="61"/>
    <tableColumn id="2" xr3:uid="{DE8074D3-9C5E-406F-AE87-BB0AE5013E8A}" name="Labor Type" dataDxfId="311" totalsRowDxfId="60"/>
    <tableColumn id="3" xr3:uid="{FF4F6EAE-BD4E-4C5E-B80B-4C3564156EA1}" name="Hours/Week" dataDxfId="310" totalsRowDxfId="59"/>
    <tableColumn id="4" xr3:uid="{8944C593-D41D-47EB-A193-2543CD56B64B}" name="Cost/Week" dataDxfId="309" totalsRowDxfId="58">
      <calculatedColumnFormula>IF(ISBLANK(LaborDetail_ProductionCostTable[Hours/Week]),0,VLOOKUP(LaborDetail_ProductionCostTable[Labor Type],LaborDetail_RateTable[],5,FALSE)*LaborDetail_ProductionCostTable[Hours/Week])</calculatedColumnFormula>
    </tableColumn>
    <tableColumn id="5" xr3:uid="{2CEC013F-D3B9-4264-A3A0-8584DA69813D}" name="Number of Weeks" dataDxfId="308" totalsRowDxfId="57"/>
    <tableColumn id="7" xr3:uid="{7CC9FCD0-AF4E-4C0B-8EB7-97423E163288}" name="Annual Hours" totalsRowFunction="sum" dataDxfId="307" totalsRowDxfId="56">
      <calculatedColumnFormula>LaborDetail_ProductionCostTable[Hours/Week]*LaborDetail_ProductionCostTable[Number of Weeks]</calculatedColumnFormula>
    </tableColumn>
    <tableColumn id="6" xr3:uid="{F88FF011-3121-4592-B622-06AE80F910E7}" name="Annual Cost" totalsRowFunction="sum" dataDxfId="306" totalsRowDxfId="55">
      <calculatedColumnFormula>LaborDetail_ProductionCostTable[Cost/Week]*LaborDetail_ProductionCostTable[Number of Weeks]</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table" Target="../tables/table17.xml"/><Relationship Id="rId1" Type="http://schemas.openxmlformats.org/officeDocument/2006/relationships/printerSettings" Target="../printerSettings/printerSettings11.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 Id="rId5" Type="http://schemas.openxmlformats.org/officeDocument/2006/relationships/table" Target="../tables/table11.xml"/><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6.bin"/><Relationship Id="rId4" Type="http://schemas.openxmlformats.org/officeDocument/2006/relationships/table" Target="../tables/table1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AB2BB-5FEE-4DB9-9531-ECBCBEC51138}">
  <dimension ref="B2:K42"/>
  <sheetViews>
    <sheetView showGridLines="0" tabSelected="1" workbookViewId="0"/>
  </sheetViews>
  <sheetFormatPr defaultRowHeight="15" x14ac:dyDescent="0.25"/>
  <cols>
    <col min="1" max="1" width="4.7109375" customWidth="1"/>
  </cols>
  <sheetData>
    <row r="2" spans="2:11" ht="15" customHeight="1" x14ac:dyDescent="0.25">
      <c r="B2" s="242" t="s">
        <v>266</v>
      </c>
      <c r="C2" s="242"/>
      <c r="D2" s="242"/>
      <c r="E2" s="242"/>
      <c r="F2" s="242"/>
      <c r="G2" s="242"/>
      <c r="H2" s="242"/>
    </row>
    <row r="3" spans="2:11" ht="15" customHeight="1" x14ac:dyDescent="0.25">
      <c r="B3" s="242"/>
      <c r="C3" s="242"/>
      <c r="D3" s="242"/>
      <c r="E3" s="242"/>
      <c r="F3" s="242"/>
      <c r="G3" s="242"/>
      <c r="H3" s="242"/>
    </row>
    <row r="4" spans="2:11" ht="15" customHeight="1" x14ac:dyDescent="0.25">
      <c r="B4" s="241">
        <v>2018</v>
      </c>
      <c r="C4" s="241"/>
      <c r="D4" s="241"/>
      <c r="E4" s="241"/>
      <c r="F4" s="241"/>
      <c r="G4" s="241"/>
      <c r="H4" s="241"/>
    </row>
    <row r="5" spans="2:11" ht="15" customHeight="1" x14ac:dyDescent="0.25">
      <c r="B5" s="241"/>
      <c r="C5" s="241"/>
      <c r="D5" s="241"/>
      <c r="E5" s="241"/>
      <c r="F5" s="241"/>
      <c r="G5" s="241"/>
      <c r="H5" s="241"/>
    </row>
    <row r="6" spans="2:11" ht="15.75" x14ac:dyDescent="0.25">
      <c r="B6" s="243" t="s">
        <v>267</v>
      </c>
      <c r="C6" s="243"/>
      <c r="D6" s="243"/>
      <c r="E6" s="243"/>
      <c r="F6" s="243"/>
      <c r="G6" s="243"/>
      <c r="H6" s="243"/>
    </row>
    <row r="7" spans="2:11" ht="15.75" x14ac:dyDescent="0.25">
      <c r="B7" s="243" t="s">
        <v>100</v>
      </c>
      <c r="C7" s="243"/>
      <c r="D7" s="243"/>
      <c r="E7" s="243"/>
      <c r="F7" s="243"/>
      <c r="G7" s="243"/>
      <c r="H7" s="243"/>
    </row>
    <row r="8" spans="2:11" ht="15.75" x14ac:dyDescent="0.25">
      <c r="B8" s="243" t="s">
        <v>101</v>
      </c>
      <c r="C8" s="243"/>
      <c r="D8" s="243"/>
      <c r="E8" s="243"/>
      <c r="F8" s="243"/>
      <c r="G8" s="243"/>
      <c r="H8" s="243"/>
    </row>
    <row r="9" spans="2:11" x14ac:dyDescent="0.25">
      <c r="B9" s="172"/>
      <c r="C9" s="172"/>
      <c r="D9" s="172"/>
      <c r="E9" s="172"/>
      <c r="F9" s="172"/>
      <c r="G9" s="172"/>
      <c r="H9" s="172"/>
    </row>
    <row r="10" spans="2:11" x14ac:dyDescent="0.25">
      <c r="B10" s="244" t="s">
        <v>224</v>
      </c>
      <c r="C10" s="245"/>
      <c r="D10" s="245"/>
      <c r="E10" s="245"/>
      <c r="F10" s="245"/>
      <c r="G10" s="245"/>
      <c r="H10" s="245"/>
    </row>
    <row r="11" spans="2:11" ht="15" customHeight="1" x14ac:dyDescent="0.25">
      <c r="B11" s="250" t="s">
        <v>268</v>
      </c>
      <c r="C11" s="250"/>
      <c r="D11" s="250"/>
      <c r="E11" s="250"/>
      <c r="F11" s="250"/>
      <c r="G11" s="250"/>
      <c r="H11" s="250"/>
      <c r="I11" s="77"/>
      <c r="J11" s="77"/>
      <c r="K11" s="77"/>
    </row>
    <row r="12" spans="2:11" x14ac:dyDescent="0.25">
      <c r="B12" s="250"/>
      <c r="C12" s="250"/>
      <c r="D12" s="250"/>
      <c r="E12" s="250"/>
      <c r="F12" s="250"/>
      <c r="G12" s="250"/>
      <c r="H12" s="250"/>
      <c r="I12" s="77"/>
      <c r="J12" s="77"/>
      <c r="K12" s="77"/>
    </row>
    <row r="13" spans="2:11" x14ac:dyDescent="0.25">
      <c r="B13" s="250"/>
      <c r="C13" s="250"/>
      <c r="D13" s="250"/>
      <c r="E13" s="250"/>
      <c r="F13" s="250"/>
      <c r="G13" s="250"/>
      <c r="H13" s="250"/>
      <c r="I13" s="77"/>
      <c r="J13" s="77"/>
      <c r="K13" s="77"/>
    </row>
    <row r="14" spans="2:11" x14ac:dyDescent="0.25">
      <c r="B14" s="250"/>
      <c r="C14" s="250"/>
      <c r="D14" s="250"/>
      <c r="E14" s="250"/>
      <c r="F14" s="250"/>
      <c r="G14" s="250"/>
      <c r="H14" s="250"/>
      <c r="I14" s="77"/>
      <c r="J14" s="77"/>
      <c r="K14" s="77"/>
    </row>
    <row r="15" spans="2:11" x14ac:dyDescent="0.25">
      <c r="B15" s="250"/>
      <c r="C15" s="250"/>
      <c r="D15" s="250"/>
      <c r="E15" s="250"/>
      <c r="F15" s="250"/>
      <c r="G15" s="250"/>
      <c r="H15" s="250"/>
      <c r="I15" s="77"/>
      <c r="J15" s="77"/>
      <c r="K15" s="77"/>
    </row>
    <row r="16" spans="2:11" s="140" customFormat="1" x14ac:dyDescent="0.25">
      <c r="B16" s="250"/>
      <c r="C16" s="250"/>
      <c r="D16" s="250"/>
      <c r="E16" s="250"/>
      <c r="F16" s="250"/>
      <c r="G16" s="250"/>
      <c r="H16" s="250"/>
      <c r="I16" s="142"/>
      <c r="J16" s="142"/>
      <c r="K16" s="142"/>
    </row>
    <row r="17" spans="2:11" s="140" customFormat="1" x14ac:dyDescent="0.25">
      <c r="B17" s="250"/>
      <c r="C17" s="250"/>
      <c r="D17" s="250"/>
      <c r="E17" s="250"/>
      <c r="F17" s="250"/>
      <c r="G17" s="250"/>
      <c r="H17" s="250"/>
      <c r="I17" s="142"/>
      <c r="J17" s="142"/>
      <c r="K17" s="142"/>
    </row>
    <row r="18" spans="2:11" s="140" customFormat="1" x14ac:dyDescent="0.25">
      <c r="B18" s="250"/>
      <c r="C18" s="250"/>
      <c r="D18" s="250"/>
      <c r="E18" s="250"/>
      <c r="F18" s="250"/>
      <c r="G18" s="250"/>
      <c r="H18" s="250"/>
      <c r="I18" s="142"/>
      <c r="J18" s="142"/>
      <c r="K18" s="142"/>
    </row>
    <row r="19" spans="2:11" s="167" customFormat="1" x14ac:dyDescent="0.25">
      <c r="B19" s="250"/>
      <c r="C19" s="250"/>
      <c r="D19" s="250"/>
      <c r="E19" s="250"/>
      <c r="F19" s="250"/>
      <c r="G19" s="250"/>
      <c r="H19" s="250"/>
      <c r="I19" s="168"/>
      <c r="J19" s="168"/>
      <c r="K19" s="168"/>
    </row>
    <row r="20" spans="2:11" s="167" customFormat="1" x14ac:dyDescent="0.25">
      <c r="B20" s="250"/>
      <c r="C20" s="250"/>
      <c r="D20" s="250"/>
      <c r="E20" s="250"/>
      <c r="F20" s="250"/>
      <c r="G20" s="250"/>
      <c r="H20" s="250"/>
      <c r="I20" s="168"/>
      <c r="J20" s="168"/>
      <c r="K20" s="168"/>
    </row>
    <row r="21" spans="2:11" s="167" customFormat="1" x14ac:dyDescent="0.25">
      <c r="B21" s="250"/>
      <c r="C21" s="250"/>
      <c r="D21" s="250"/>
      <c r="E21" s="250"/>
      <c r="F21" s="250"/>
      <c r="G21" s="250"/>
      <c r="H21" s="250"/>
      <c r="I21" s="169"/>
      <c r="J21" s="169"/>
      <c r="K21" s="169"/>
    </row>
    <row r="22" spans="2:11" s="167" customFormat="1" x14ac:dyDescent="0.25">
      <c r="B22" s="250"/>
      <c r="C22" s="250"/>
      <c r="D22" s="250"/>
      <c r="E22" s="250"/>
      <c r="F22" s="250"/>
      <c r="G22" s="250"/>
      <c r="H22" s="250"/>
      <c r="I22" s="169"/>
      <c r="J22" s="169"/>
      <c r="K22" s="169"/>
    </row>
    <row r="23" spans="2:11" s="136" customFormat="1" ht="15" customHeight="1" x14ac:dyDescent="0.25">
      <c r="B23" s="247" t="s">
        <v>263</v>
      </c>
      <c r="C23" s="247"/>
      <c r="D23" s="247"/>
      <c r="E23" s="247"/>
      <c r="F23" s="247"/>
      <c r="G23" s="247"/>
      <c r="H23" s="247"/>
      <c r="I23" s="77"/>
      <c r="J23" s="77"/>
      <c r="K23" s="77"/>
    </row>
    <row r="24" spans="2:11" s="167" customFormat="1" x14ac:dyDescent="0.25">
      <c r="B24" s="248" t="s">
        <v>260</v>
      </c>
      <c r="C24" s="248"/>
      <c r="D24" s="248"/>
      <c r="E24" s="248"/>
      <c r="F24" s="248"/>
      <c r="G24" s="248"/>
      <c r="H24" s="248"/>
      <c r="I24" s="168"/>
      <c r="J24" s="168"/>
      <c r="K24" s="168"/>
    </row>
    <row r="25" spans="2:11" s="167" customFormat="1" x14ac:dyDescent="0.25">
      <c r="B25" s="249" t="s">
        <v>261</v>
      </c>
      <c r="C25" s="249"/>
      <c r="D25" s="249"/>
      <c r="E25" s="249"/>
      <c r="F25" s="249"/>
      <c r="G25" s="249"/>
      <c r="H25" s="249"/>
      <c r="I25" s="168"/>
      <c r="J25" s="168"/>
      <c r="K25" s="168"/>
    </row>
    <row r="26" spans="2:11" s="136" customFormat="1" x14ac:dyDescent="0.25">
      <c r="B26" s="77"/>
      <c r="C26" s="77"/>
      <c r="D26" s="77"/>
      <c r="E26" s="77"/>
      <c r="F26" s="77"/>
      <c r="G26" s="77"/>
      <c r="H26" s="77"/>
      <c r="I26" s="77"/>
      <c r="J26" s="77"/>
      <c r="K26" s="77"/>
    </row>
    <row r="27" spans="2:11" x14ac:dyDescent="0.25">
      <c r="B27" s="246" t="s">
        <v>269</v>
      </c>
      <c r="C27" s="246"/>
      <c r="D27" s="246"/>
      <c r="E27" s="246"/>
      <c r="F27" s="246"/>
      <c r="G27" s="246"/>
      <c r="H27" s="246"/>
      <c r="I27" s="77"/>
      <c r="J27" s="77"/>
      <c r="K27" s="77"/>
    </row>
    <row r="28" spans="2:11" x14ac:dyDescent="0.25">
      <c r="B28" s="246"/>
      <c r="C28" s="246"/>
      <c r="D28" s="246"/>
      <c r="E28" s="246"/>
      <c r="F28" s="246"/>
      <c r="G28" s="246"/>
      <c r="H28" s="246"/>
      <c r="I28" s="77"/>
      <c r="J28" s="77"/>
      <c r="K28" s="77"/>
    </row>
    <row r="29" spans="2:11" x14ac:dyDescent="0.25">
      <c r="B29" s="77"/>
      <c r="C29" s="77"/>
      <c r="D29" s="77"/>
      <c r="E29" s="77"/>
      <c r="F29" s="77"/>
      <c r="G29" s="77"/>
      <c r="H29" s="77"/>
      <c r="I29" s="77"/>
      <c r="J29" s="77"/>
      <c r="K29" s="77"/>
    </row>
    <row r="30" spans="2:11" x14ac:dyDescent="0.25">
      <c r="B30" s="77"/>
      <c r="C30" s="77"/>
      <c r="D30" s="77"/>
      <c r="E30" s="77"/>
      <c r="F30" s="77"/>
      <c r="G30" s="77"/>
      <c r="H30" s="77"/>
      <c r="I30" s="77"/>
      <c r="J30" s="77"/>
      <c r="K30" s="77"/>
    </row>
    <row r="31" spans="2:11" x14ac:dyDescent="0.25">
      <c r="B31" s="77"/>
      <c r="C31" s="77"/>
      <c r="D31" s="77"/>
      <c r="E31" s="77"/>
      <c r="F31" s="77"/>
      <c r="G31" s="77"/>
      <c r="H31" s="77"/>
      <c r="I31" s="77"/>
      <c r="J31" s="77"/>
      <c r="K31" s="77"/>
    </row>
    <row r="32" spans="2:11" x14ac:dyDescent="0.25">
      <c r="B32" s="77"/>
      <c r="C32" s="77"/>
      <c r="D32" s="77"/>
      <c r="E32" s="77"/>
      <c r="F32" s="77"/>
      <c r="G32" s="77"/>
      <c r="H32" s="77"/>
      <c r="I32" s="77"/>
      <c r="J32" s="77"/>
      <c r="K32" s="77"/>
    </row>
    <row r="33" spans="2:11" x14ac:dyDescent="0.25">
      <c r="B33" s="77"/>
      <c r="C33" s="77"/>
      <c r="D33" s="77"/>
      <c r="E33" s="77"/>
      <c r="F33" s="77"/>
      <c r="G33" s="77"/>
      <c r="H33" s="77"/>
      <c r="I33" s="77"/>
      <c r="J33" s="77"/>
      <c r="K33" s="77"/>
    </row>
    <row r="34" spans="2:11" x14ac:dyDescent="0.25">
      <c r="B34" s="77"/>
      <c r="C34" s="77"/>
      <c r="D34" s="77"/>
      <c r="E34" s="77"/>
      <c r="F34" s="77"/>
      <c r="G34" s="77"/>
      <c r="H34" s="77"/>
      <c r="I34" s="77"/>
      <c r="J34" s="77"/>
      <c r="K34" s="77"/>
    </row>
    <row r="35" spans="2:11" x14ac:dyDescent="0.25">
      <c r="B35" s="77"/>
      <c r="C35" s="77"/>
      <c r="D35" s="77"/>
      <c r="E35" s="77"/>
      <c r="F35" s="77"/>
      <c r="G35" s="77"/>
      <c r="H35" s="77"/>
      <c r="I35" s="77"/>
      <c r="J35" s="77"/>
      <c r="K35" s="77"/>
    </row>
    <row r="36" spans="2:11" x14ac:dyDescent="0.25">
      <c r="B36" s="77"/>
      <c r="C36" s="77"/>
      <c r="D36" s="77"/>
      <c r="E36" s="77"/>
      <c r="F36" s="77"/>
      <c r="G36" s="77"/>
      <c r="H36" s="77"/>
      <c r="I36" s="77"/>
      <c r="J36" s="77"/>
      <c r="K36" s="77"/>
    </row>
    <row r="37" spans="2:11" x14ac:dyDescent="0.25">
      <c r="B37" s="77"/>
      <c r="C37" s="77"/>
      <c r="D37" s="77"/>
      <c r="E37" s="77"/>
      <c r="F37" s="77"/>
      <c r="G37" s="77"/>
      <c r="H37" s="77"/>
      <c r="I37" s="77"/>
      <c r="J37" s="77"/>
      <c r="K37" s="77"/>
    </row>
    <row r="38" spans="2:11" x14ac:dyDescent="0.25">
      <c r="B38" s="77"/>
      <c r="C38" s="77"/>
      <c r="D38" s="77"/>
      <c r="E38" s="77"/>
      <c r="F38" s="77"/>
      <c r="G38" s="77"/>
      <c r="H38" s="77"/>
      <c r="I38" s="77"/>
      <c r="J38" s="77"/>
      <c r="K38" s="77"/>
    </row>
    <row r="39" spans="2:11" x14ac:dyDescent="0.25">
      <c r="B39" s="77"/>
      <c r="C39" s="77"/>
      <c r="D39" s="77"/>
      <c r="E39" s="77"/>
      <c r="F39" s="77"/>
      <c r="G39" s="77"/>
      <c r="H39" s="77"/>
      <c r="I39" s="77"/>
      <c r="J39" s="77"/>
      <c r="K39" s="77"/>
    </row>
    <row r="40" spans="2:11" x14ac:dyDescent="0.25">
      <c r="B40" s="77"/>
      <c r="C40" s="77"/>
      <c r="D40" s="77"/>
      <c r="E40" s="77"/>
      <c r="F40" s="77"/>
      <c r="G40" s="77"/>
      <c r="H40" s="77"/>
      <c r="I40" s="77"/>
      <c r="J40" s="77"/>
      <c r="K40" s="77"/>
    </row>
    <row r="41" spans="2:11" x14ac:dyDescent="0.25">
      <c r="B41" s="77"/>
      <c r="C41" s="77"/>
      <c r="D41" s="77"/>
      <c r="E41" s="77"/>
      <c r="F41" s="77"/>
      <c r="G41" s="77"/>
      <c r="H41" s="77"/>
      <c r="I41" s="77"/>
      <c r="J41" s="77"/>
      <c r="K41" s="77"/>
    </row>
    <row r="42" spans="2:11" x14ac:dyDescent="0.25">
      <c r="B42" s="77"/>
      <c r="C42" s="77"/>
      <c r="D42" s="77"/>
      <c r="E42" s="77"/>
      <c r="F42" s="77"/>
      <c r="G42" s="77"/>
      <c r="H42" s="77"/>
      <c r="I42" s="77"/>
      <c r="J42" s="77"/>
      <c r="K42" s="77"/>
    </row>
  </sheetData>
  <sheetProtection algorithmName="SHA-512" hashValue="qtA6Q4XfMql2EcGNQ2mTg9+zrUeZlSZRdARNHefYeLmd8HmwbJ7Y2d6PRzcbYptAId4hKKgGdMHFqGDbwDAV3w==" saltValue="SvURjVJPGX9/a5yhuH780Q==" spinCount="100000" sheet="1" objects="1" scenarios="1"/>
  <mergeCells count="11">
    <mergeCell ref="B10:H10"/>
    <mergeCell ref="B27:H28"/>
    <mergeCell ref="B23:H23"/>
    <mergeCell ref="B24:H24"/>
    <mergeCell ref="B25:H25"/>
    <mergeCell ref="B11:H22"/>
    <mergeCell ref="B4:H5"/>
    <mergeCell ref="B2:H3"/>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8191-0378-4CFE-BB56-6AA011CAFC29}">
  <dimension ref="B2:M31"/>
  <sheetViews>
    <sheetView showGridLines="0" workbookViewId="0"/>
  </sheetViews>
  <sheetFormatPr defaultRowHeight="15" x14ac:dyDescent="0.25"/>
  <cols>
    <col min="1" max="1" width="4.7109375" customWidth="1"/>
    <col min="2" max="2" width="46" customWidth="1"/>
    <col min="3" max="13" width="11.7109375" customWidth="1"/>
  </cols>
  <sheetData>
    <row r="2" spans="2:13" x14ac:dyDescent="0.25">
      <c r="B2" s="315" t="s">
        <v>215</v>
      </c>
      <c r="C2" s="315"/>
      <c r="D2" s="315"/>
      <c r="E2" s="315"/>
      <c r="F2" s="315"/>
      <c r="G2" s="49"/>
      <c r="H2" s="49"/>
      <c r="I2" s="49"/>
      <c r="J2" s="49"/>
      <c r="K2" s="49"/>
      <c r="L2" s="49"/>
      <c r="M2" s="49"/>
    </row>
    <row r="3" spans="2:13" x14ac:dyDescent="0.25">
      <c r="B3" s="49"/>
      <c r="C3" s="49"/>
      <c r="D3" s="49"/>
      <c r="E3" s="49"/>
      <c r="F3" s="49"/>
      <c r="G3" s="49"/>
      <c r="H3" s="139" t="s">
        <v>61</v>
      </c>
      <c r="I3" s="49"/>
      <c r="J3" s="49"/>
      <c r="K3" s="49"/>
      <c r="L3" s="49"/>
      <c r="M3" s="49"/>
    </row>
    <row r="4" spans="2:13" ht="15.75" thickBot="1" x14ac:dyDescent="0.3">
      <c r="B4" s="308" t="s">
        <v>218</v>
      </c>
      <c r="C4" s="309"/>
      <c r="D4" s="309"/>
      <c r="E4" s="309"/>
      <c r="F4" s="310"/>
      <c r="G4" s="49"/>
      <c r="H4" s="316" t="s">
        <v>257</v>
      </c>
      <c r="I4" s="317"/>
      <c r="J4" s="317"/>
      <c r="K4" s="317"/>
      <c r="L4" s="317"/>
      <c r="M4" s="318"/>
    </row>
    <row r="5" spans="2:13" ht="15.75" thickBot="1" x14ac:dyDescent="0.3">
      <c r="B5" s="311" t="s">
        <v>199</v>
      </c>
      <c r="C5" s="312"/>
      <c r="D5" s="312"/>
      <c r="E5" s="312"/>
      <c r="F5" s="160">
        <f>Net_Present_Value</f>
        <v>0</v>
      </c>
      <c r="G5" s="49"/>
      <c r="H5" s="319"/>
      <c r="I5" s="320"/>
      <c r="J5" s="320"/>
      <c r="K5" s="320"/>
      <c r="L5" s="320"/>
      <c r="M5" s="321"/>
    </row>
    <row r="6" spans="2:13" x14ac:dyDescent="0.25">
      <c r="B6" s="49"/>
      <c r="C6" s="49"/>
      <c r="D6" s="49"/>
      <c r="E6" s="49"/>
      <c r="F6" s="49"/>
      <c r="G6" s="49"/>
      <c r="H6" s="319"/>
      <c r="I6" s="320"/>
      <c r="J6" s="320"/>
      <c r="K6" s="320"/>
      <c r="L6" s="320"/>
      <c r="M6" s="321"/>
    </row>
    <row r="7" spans="2:13" s="133" customFormat="1" x14ac:dyDescent="0.25">
      <c r="B7" s="68" t="s">
        <v>221</v>
      </c>
      <c r="C7" s="217"/>
      <c r="H7" s="319"/>
      <c r="I7" s="320"/>
      <c r="J7" s="320"/>
      <c r="K7" s="320"/>
      <c r="L7" s="320"/>
      <c r="M7" s="321"/>
    </row>
    <row r="8" spans="2:13" x14ac:dyDescent="0.25">
      <c r="B8" s="69" t="s">
        <v>219</v>
      </c>
      <c r="C8" s="218"/>
      <c r="D8" s="49"/>
      <c r="E8" s="49"/>
      <c r="F8" s="49"/>
      <c r="G8" s="49"/>
      <c r="H8" s="319"/>
      <c r="I8" s="320"/>
      <c r="J8" s="320"/>
      <c r="K8" s="320"/>
      <c r="L8" s="320"/>
      <c r="M8" s="321"/>
    </row>
    <row r="9" spans="2:13" x14ac:dyDescent="0.25">
      <c r="B9" s="69" t="s">
        <v>200</v>
      </c>
      <c r="C9" s="218"/>
      <c r="D9" s="49"/>
      <c r="E9" s="49"/>
      <c r="F9" s="49"/>
      <c r="G9" s="49"/>
      <c r="H9" s="319"/>
      <c r="I9" s="320"/>
      <c r="J9" s="320"/>
      <c r="K9" s="320"/>
      <c r="L9" s="320"/>
      <c r="M9" s="321"/>
    </row>
    <row r="10" spans="2:13" x14ac:dyDescent="0.25">
      <c r="B10" s="70" t="s">
        <v>220</v>
      </c>
      <c r="C10" s="166">
        <f>C8+C9</f>
        <v>0</v>
      </c>
      <c r="D10" s="49"/>
      <c r="E10" s="49"/>
      <c r="F10" s="49"/>
      <c r="G10" s="49"/>
      <c r="H10" s="319"/>
      <c r="I10" s="320"/>
      <c r="J10" s="320"/>
      <c r="K10" s="320"/>
      <c r="L10" s="320"/>
      <c r="M10" s="321"/>
    </row>
    <row r="11" spans="2:13" x14ac:dyDescent="0.25">
      <c r="B11" s="49"/>
      <c r="C11" s="49"/>
      <c r="D11" s="49"/>
      <c r="E11" s="49"/>
      <c r="F11" s="49"/>
      <c r="G11" s="49"/>
      <c r="H11" s="319"/>
      <c r="I11" s="320"/>
      <c r="J11" s="320"/>
      <c r="K11" s="320"/>
      <c r="L11" s="320"/>
      <c r="M11" s="321"/>
    </row>
    <row r="12" spans="2:13" x14ac:dyDescent="0.25">
      <c r="B12" s="48" t="s">
        <v>201</v>
      </c>
      <c r="C12" s="49"/>
      <c r="D12" s="49"/>
      <c r="E12" s="49"/>
      <c r="F12" s="49"/>
      <c r="G12" s="49"/>
      <c r="H12" s="319"/>
      <c r="I12" s="320"/>
      <c r="J12" s="320"/>
      <c r="K12" s="320"/>
      <c r="L12" s="320"/>
      <c r="M12" s="321"/>
    </row>
    <row r="13" spans="2:13" ht="30" customHeight="1" x14ac:dyDescent="0.25">
      <c r="B13" s="52" t="s">
        <v>202</v>
      </c>
      <c r="C13" s="123" t="s">
        <v>203</v>
      </c>
      <c r="D13" s="49"/>
      <c r="E13" s="49"/>
      <c r="F13" s="49"/>
      <c r="G13" s="49"/>
      <c r="H13" s="319"/>
      <c r="I13" s="320"/>
      <c r="J13" s="320"/>
      <c r="K13" s="320"/>
      <c r="L13" s="320"/>
      <c r="M13" s="321"/>
    </row>
    <row r="14" spans="2:13" x14ac:dyDescent="0.25">
      <c r="B14" s="53" t="s">
        <v>138</v>
      </c>
      <c r="C14" s="9">
        <f>FixedOverhead_GreenhouseTable[[#Totals],[Original Cost]]</f>
        <v>0</v>
      </c>
      <c r="D14" s="49"/>
      <c r="E14" s="49"/>
      <c r="F14" s="49"/>
      <c r="G14" s="49"/>
      <c r="H14" s="319"/>
      <c r="I14" s="320"/>
      <c r="J14" s="320"/>
      <c r="K14" s="320"/>
      <c r="L14" s="320"/>
      <c r="M14" s="321"/>
    </row>
    <row r="15" spans="2:13" x14ac:dyDescent="0.25">
      <c r="B15" s="53" t="s">
        <v>139</v>
      </c>
      <c r="C15" s="9">
        <f>FixedOverhead_EquipmentTable[[#Totals],[Original Cost]]</f>
        <v>0</v>
      </c>
      <c r="D15" s="49"/>
      <c r="E15" s="49"/>
      <c r="F15" s="49"/>
      <c r="G15" s="49"/>
      <c r="H15" s="319"/>
      <c r="I15" s="320"/>
      <c r="J15" s="320"/>
      <c r="K15" s="320"/>
      <c r="L15" s="320"/>
      <c r="M15" s="321"/>
    </row>
    <row r="16" spans="2:13" x14ac:dyDescent="0.25">
      <c r="B16" s="52" t="s">
        <v>22</v>
      </c>
      <c r="C16" s="50">
        <f>SUM(C14:C15)</f>
        <v>0</v>
      </c>
      <c r="D16" s="49"/>
      <c r="E16" s="49"/>
      <c r="F16" s="49"/>
      <c r="G16" s="49"/>
      <c r="H16" s="322"/>
      <c r="I16" s="323"/>
      <c r="J16" s="323"/>
      <c r="K16" s="323"/>
      <c r="L16" s="323"/>
      <c r="M16" s="324"/>
    </row>
    <row r="17" spans="2:13" x14ac:dyDescent="0.25">
      <c r="B17" s="49"/>
      <c r="C17" s="49"/>
      <c r="D17" s="49"/>
      <c r="E17" s="49"/>
      <c r="F17" s="49"/>
      <c r="G17" s="49"/>
      <c r="H17" s="49"/>
      <c r="I17" s="49"/>
      <c r="J17" s="49"/>
      <c r="K17" s="49"/>
      <c r="L17" s="49"/>
      <c r="M17" s="49"/>
    </row>
    <row r="18" spans="2:13" ht="15.75" thickBot="1" x14ac:dyDescent="0.3">
      <c r="B18" s="313" t="s">
        <v>204</v>
      </c>
      <c r="C18" s="313"/>
      <c r="D18" s="313"/>
      <c r="E18" s="313"/>
      <c r="F18" s="313"/>
      <c r="G18" s="313"/>
      <c r="H18" s="313"/>
      <c r="I18" s="313"/>
      <c r="J18" s="313"/>
      <c r="K18" s="313"/>
      <c r="L18" s="313"/>
      <c r="M18" s="313"/>
    </row>
    <row r="19" spans="2:13" x14ac:dyDescent="0.25">
      <c r="B19" s="55" t="s">
        <v>205</v>
      </c>
      <c r="C19" s="55">
        <v>0</v>
      </c>
      <c r="D19" s="55">
        <v>1</v>
      </c>
      <c r="E19" s="55">
        <v>2</v>
      </c>
      <c r="F19" s="55">
        <v>3</v>
      </c>
      <c r="G19" s="55">
        <v>4</v>
      </c>
      <c r="H19" s="55">
        <v>5</v>
      </c>
      <c r="I19" s="55">
        <v>6</v>
      </c>
      <c r="J19" s="55">
        <v>7</v>
      </c>
      <c r="K19" s="55">
        <v>8</v>
      </c>
      <c r="L19" s="124">
        <v>9</v>
      </c>
      <c r="M19" s="124">
        <v>10</v>
      </c>
    </row>
    <row r="20" spans="2:13" ht="15.75" thickBot="1" x14ac:dyDescent="0.3">
      <c r="B20" s="56" t="s">
        <v>206</v>
      </c>
      <c r="C20" s="56"/>
      <c r="D20" s="56"/>
      <c r="E20" s="56"/>
      <c r="F20" s="56"/>
      <c r="G20" s="56"/>
      <c r="H20" s="56"/>
      <c r="I20" s="56"/>
      <c r="J20" s="56"/>
      <c r="K20" s="56"/>
      <c r="L20" s="56"/>
      <c r="M20" s="56"/>
    </row>
    <row r="21" spans="2:13" x14ac:dyDescent="0.25">
      <c r="B21" s="55" t="s">
        <v>207</v>
      </c>
      <c r="C21" s="125"/>
      <c r="D21" s="125">
        <f>SalesRevenuePerYear</f>
        <v>0</v>
      </c>
      <c r="E21" s="125">
        <f t="shared" ref="E21:M21" si="0">D21*(1+Expected_inflation_rate)</f>
        <v>0</v>
      </c>
      <c r="F21" s="125">
        <f t="shared" si="0"/>
        <v>0</v>
      </c>
      <c r="G21" s="125">
        <f t="shared" si="0"/>
        <v>0</v>
      </c>
      <c r="H21" s="125">
        <f t="shared" si="0"/>
        <v>0</v>
      </c>
      <c r="I21" s="125">
        <f t="shared" si="0"/>
        <v>0</v>
      </c>
      <c r="J21" s="125">
        <f t="shared" si="0"/>
        <v>0</v>
      </c>
      <c r="K21" s="125">
        <f t="shared" si="0"/>
        <v>0</v>
      </c>
      <c r="L21" s="125">
        <f t="shared" si="0"/>
        <v>0</v>
      </c>
      <c r="M21" s="125">
        <f t="shared" si="0"/>
        <v>0</v>
      </c>
    </row>
    <row r="22" spans="2:13" x14ac:dyDescent="0.25">
      <c r="B22" s="53" t="s">
        <v>222</v>
      </c>
      <c r="C22" s="64"/>
      <c r="D22" s="64">
        <f>TotalVariableCashCosts</f>
        <v>0</v>
      </c>
      <c r="E22" s="125">
        <f t="shared" ref="E22:M22" si="1">D22*(1+Expected_inflation_rate)</f>
        <v>0</v>
      </c>
      <c r="F22" s="125">
        <f t="shared" si="1"/>
        <v>0</v>
      </c>
      <c r="G22" s="125">
        <f t="shared" si="1"/>
        <v>0</v>
      </c>
      <c r="H22" s="125">
        <f t="shared" si="1"/>
        <v>0</v>
      </c>
      <c r="I22" s="125">
        <f t="shared" si="1"/>
        <v>0</v>
      </c>
      <c r="J22" s="125">
        <f t="shared" si="1"/>
        <v>0</v>
      </c>
      <c r="K22" s="125">
        <f t="shared" si="1"/>
        <v>0</v>
      </c>
      <c r="L22" s="125">
        <f t="shared" si="1"/>
        <v>0</v>
      </c>
      <c r="M22" s="125">
        <f t="shared" si="1"/>
        <v>0</v>
      </c>
    </row>
    <row r="23" spans="2:13" x14ac:dyDescent="0.25">
      <c r="B23" s="53" t="s">
        <v>223</v>
      </c>
      <c r="C23" s="64"/>
      <c r="D23" s="64">
        <f>TotalFixedCashCosts</f>
        <v>0</v>
      </c>
      <c r="E23" s="125">
        <f>(TotalFixedCashCosts*(1+Expected_inflation_rate)^(E19-1))+SUMIF(FixedOverhead_GreenhouseTable[Use Life (Years)],2,FixedOverhead_GreenhouseTable[Original Cost])+SUMIF(FixedOverhead_EquipmentTable[Use Life (Years)],2,FixedOverhead_EquipmentTable[Original Cost])</f>
        <v>0</v>
      </c>
      <c r="F23" s="125">
        <f>(TotalFixedCashCosts*(1+Expected_inflation_rate)^(F19-1))+SUMIF(FixedOverhead_GreenhouseTable[Use Life (Years)],3,FixedOverhead_GreenhouseTable[Original Cost])+SUMIF(FixedOverhead_EquipmentTable[Use Life (Years)],3,FixedOverhead_EquipmentTable[Original Cost])</f>
        <v>0</v>
      </c>
      <c r="G23" s="125">
        <f>(TotalFixedCashCosts*(1+Expected_inflation_rate)^(G19-1))+SUMIF(FixedOverhead_GreenhouseTable[Use Life (Years)],2,FixedOverhead_GreenhouseTable[Original Cost])+SUMIF(FixedOverhead_EquipmentTable[Use Life (Years)],2,FixedOverhead_EquipmentTable[Original Cost])+SUMIF(FixedOverhead_GreenhouseTable[Use Life (Years)],4,FixedOverhead_GreenhouseTable[Original Cost])+SUMIF(FixedOverhead_EquipmentTable[Use Life (Years)],4,FixedOverhead_EquipmentTable[Original Cost])</f>
        <v>0</v>
      </c>
      <c r="H23" s="125">
        <f>(TotalFixedCashCosts*(1+Expected_inflation_rate)^(H19-1))+SUMIF(FixedOverhead_GreenhouseTable[Use Life (Years)],5,FixedOverhead_GreenhouseTable[Original Cost])+SUMIF(FixedOverhead_EquipmentTable[Use Life (Years)],5,FixedOverhead_EquipmentTable[Original Cost])</f>
        <v>0</v>
      </c>
      <c r="I23" s="125">
        <f>(TotalFixedCashCosts*(1+Expected_inflation_rate)^(I19-1))+SUMIF(FixedOverhead_GreenhouseTable[Use Life (Years)],2,FixedOverhead_GreenhouseTable[Original Cost])+SUMIF(FixedOverhead_EquipmentTable[Use Life (Years)],2,FixedOverhead_EquipmentTable[Original Cost])+SUMIF(FixedOverhead_GreenhouseTable[Use Life (Years)],3,FixedOverhead_GreenhouseTable[Original Cost])+SUMIF(FixedOverhead_EquipmentTable[Use Life (Years)],3,FixedOverhead_EquipmentTable[Original Cost])+SUMIF(FixedOverhead_GreenhouseTable[Use Life (Years)],6,FixedOverhead_GreenhouseTable[Original Cost])+SUMIF(FixedOverhead_EquipmentTable[Use Life (Years)],6,FixedOverhead_EquipmentTable[Original Cost])</f>
        <v>0</v>
      </c>
      <c r="J23" s="125">
        <f>(TotalFixedCashCosts*(1+Expected_inflation_rate)^(J19-1))+SUMIF(FixedOverhead_GreenhouseTable[Use Life (Years)],7,FixedOverhead_GreenhouseTable[Original Cost])+SUMIF(FixedOverhead_EquipmentTable[Use Life (Years)],7,FixedOverhead_EquipmentTable[Original Cost])</f>
        <v>0</v>
      </c>
      <c r="K23" s="125">
        <f>(TotalFixedCashCosts*(1+Expected_inflation_rate)^(K19-1))+SUMIF(FixedOverhead_GreenhouseTable[Use Life (Years)],2,FixedOverhead_GreenhouseTable[Original Cost])+SUMIF(FixedOverhead_EquipmentTable[Use Life (Years)],2,FixedOverhead_EquipmentTable[Original Cost])+SUMIF(FixedOverhead_GreenhouseTable[Use Life (Years)],4,FixedOverhead_GreenhouseTable[Original Cost])+SUMIF(FixedOverhead_EquipmentTable[Use Life (Years)],4,FixedOverhead_EquipmentTable[Original Cost])+SUMIF(FixedOverhead_GreenhouseTable[Use Life (Years)],8,FixedOverhead_GreenhouseTable[Original Cost])+SUMIF(FixedOverhead_EquipmentTable[Use Life (Years)],8,FixedOverhead_EquipmentTable[Original Cost])</f>
        <v>0</v>
      </c>
      <c r="L23" s="125">
        <f>(TotalFixedCashCosts*(1+Expected_inflation_rate)^(L19-1))+SUMIF(FixedOverhead_GreenhouseTable[Use Life (Years)],9,FixedOverhead_GreenhouseTable[Original Cost])+SUMIF(FixedOverhead_EquipmentTable[Use Life (Years)],9,FixedOverhead_EquipmentTable[Original Cost])</f>
        <v>0</v>
      </c>
      <c r="M23" s="125">
        <f>TotalFixedCashCosts*(1+Expected_inflation_rate)^(M19-1)</f>
        <v>0</v>
      </c>
    </row>
    <row r="24" spans="2:13" x14ac:dyDescent="0.25">
      <c r="B24" s="55" t="s">
        <v>208</v>
      </c>
      <c r="C24" s="125">
        <f>-$C$16+C21-SUM(C22:C23)</f>
        <v>0</v>
      </c>
      <c r="D24" s="125">
        <f t="shared" ref="D24:M24" si="2">D21-SUM(D22:D23)</f>
        <v>0</v>
      </c>
      <c r="E24" s="125">
        <f t="shared" si="2"/>
        <v>0</v>
      </c>
      <c r="F24" s="125">
        <f t="shared" si="2"/>
        <v>0</v>
      </c>
      <c r="G24" s="125">
        <f t="shared" si="2"/>
        <v>0</v>
      </c>
      <c r="H24" s="125">
        <f t="shared" si="2"/>
        <v>0</v>
      </c>
      <c r="I24" s="125">
        <f t="shared" si="2"/>
        <v>0</v>
      </c>
      <c r="J24" s="125">
        <f t="shared" si="2"/>
        <v>0</v>
      </c>
      <c r="K24" s="125">
        <f t="shared" si="2"/>
        <v>0</v>
      </c>
      <c r="L24" s="125">
        <f t="shared" si="2"/>
        <v>0</v>
      </c>
      <c r="M24" s="125">
        <f t="shared" si="2"/>
        <v>0</v>
      </c>
    </row>
    <row r="25" spans="2:13" x14ac:dyDescent="0.25">
      <c r="B25" s="53" t="s">
        <v>209</v>
      </c>
      <c r="C25" s="64">
        <f t="shared" ref="C25:M25" si="3">C24/(1+Risk_Adjusted_Discount_Rate)^C19</f>
        <v>0</v>
      </c>
      <c r="D25" s="64">
        <f t="shared" si="3"/>
        <v>0</v>
      </c>
      <c r="E25" s="64">
        <f t="shared" si="3"/>
        <v>0</v>
      </c>
      <c r="F25" s="64">
        <f t="shared" si="3"/>
        <v>0</v>
      </c>
      <c r="G25" s="64">
        <f t="shared" si="3"/>
        <v>0</v>
      </c>
      <c r="H25" s="64">
        <f t="shared" si="3"/>
        <v>0</v>
      </c>
      <c r="I25" s="64">
        <f t="shared" si="3"/>
        <v>0</v>
      </c>
      <c r="J25" s="64">
        <f t="shared" si="3"/>
        <v>0</v>
      </c>
      <c r="K25" s="64">
        <f t="shared" si="3"/>
        <v>0</v>
      </c>
      <c r="L25" s="64">
        <f t="shared" si="3"/>
        <v>0</v>
      </c>
      <c r="M25" s="64">
        <f t="shared" si="3"/>
        <v>0</v>
      </c>
    </row>
    <row r="26" spans="2:13" x14ac:dyDescent="0.25">
      <c r="B26" s="53" t="s">
        <v>210</v>
      </c>
      <c r="C26" s="64">
        <f>C24</f>
        <v>0</v>
      </c>
      <c r="D26" s="64">
        <f>C26+D24</f>
        <v>0</v>
      </c>
      <c r="E26" s="64">
        <f t="shared" ref="E26:M27" si="4">D26+E24</f>
        <v>0</v>
      </c>
      <c r="F26" s="64">
        <f t="shared" si="4"/>
        <v>0</v>
      </c>
      <c r="G26" s="64">
        <f t="shared" si="4"/>
        <v>0</v>
      </c>
      <c r="H26" s="64">
        <f t="shared" si="4"/>
        <v>0</v>
      </c>
      <c r="I26" s="64">
        <f t="shared" si="4"/>
        <v>0</v>
      </c>
      <c r="J26" s="64">
        <f t="shared" si="4"/>
        <v>0</v>
      </c>
      <c r="K26" s="64">
        <f t="shared" si="4"/>
        <v>0</v>
      </c>
      <c r="L26" s="64">
        <f t="shared" si="4"/>
        <v>0</v>
      </c>
      <c r="M26" s="64">
        <f t="shared" si="4"/>
        <v>0</v>
      </c>
    </row>
    <row r="27" spans="2:13" ht="15.75" thickBot="1" x14ac:dyDescent="0.3">
      <c r="B27" s="56" t="s">
        <v>211</v>
      </c>
      <c r="C27" s="126">
        <f>C25</f>
        <v>0</v>
      </c>
      <c r="D27" s="126">
        <f>C27+D25</f>
        <v>0</v>
      </c>
      <c r="E27" s="126">
        <f t="shared" si="4"/>
        <v>0</v>
      </c>
      <c r="F27" s="126">
        <f t="shared" si="4"/>
        <v>0</v>
      </c>
      <c r="G27" s="126">
        <f t="shared" si="4"/>
        <v>0</v>
      </c>
      <c r="H27" s="126">
        <f t="shared" si="4"/>
        <v>0</v>
      </c>
      <c r="I27" s="126">
        <f t="shared" si="4"/>
        <v>0</v>
      </c>
      <c r="J27" s="126">
        <f t="shared" si="4"/>
        <v>0</v>
      </c>
      <c r="K27" s="126">
        <f t="shared" si="4"/>
        <v>0</v>
      </c>
      <c r="L27" s="126">
        <f t="shared" si="4"/>
        <v>0</v>
      </c>
      <c r="M27" s="126">
        <f t="shared" si="4"/>
        <v>0</v>
      </c>
    </row>
    <row r="28" spans="2:13" ht="15.75" thickBot="1" x14ac:dyDescent="0.3">
      <c r="B28" s="314"/>
      <c r="C28" s="314"/>
      <c r="D28" s="49"/>
      <c r="E28" s="49"/>
      <c r="F28" s="49"/>
      <c r="G28" s="49"/>
      <c r="H28" s="49"/>
      <c r="I28" s="49"/>
      <c r="J28" s="49"/>
      <c r="K28" s="49"/>
      <c r="L28" s="49"/>
      <c r="M28" s="49"/>
    </row>
    <row r="29" spans="2:13" x14ac:dyDescent="0.25">
      <c r="B29" s="55" t="s">
        <v>212</v>
      </c>
      <c r="C29" s="127">
        <f>INDEX(C19:M19,MATCH(0,C26:M26,1))+1</f>
        <v>11</v>
      </c>
      <c r="D29" s="49"/>
      <c r="E29" s="49"/>
      <c r="F29" s="49"/>
      <c r="G29" s="49"/>
      <c r="H29" s="49"/>
      <c r="I29" s="49"/>
      <c r="J29" s="49"/>
      <c r="K29" s="49"/>
      <c r="L29" s="49"/>
      <c r="M29" s="49"/>
    </row>
    <row r="30" spans="2:13" x14ac:dyDescent="0.25">
      <c r="B30" s="53" t="s">
        <v>213</v>
      </c>
      <c r="C30" s="128">
        <f>IF(C24=0,0,IRR(C24:M24))</f>
        <v>0</v>
      </c>
      <c r="D30" s="49"/>
      <c r="E30" s="49"/>
      <c r="F30" s="49"/>
      <c r="G30" s="49"/>
      <c r="H30" s="49"/>
      <c r="I30" s="49"/>
      <c r="J30" s="49"/>
      <c r="K30" s="49"/>
      <c r="L30" s="49"/>
      <c r="M30" s="49"/>
    </row>
    <row r="31" spans="2:13" ht="15.75" thickBot="1" x14ac:dyDescent="0.3">
      <c r="B31" s="56" t="s">
        <v>214</v>
      </c>
      <c r="C31" s="126">
        <f>SUM(C25:M25)</f>
        <v>0</v>
      </c>
      <c r="D31" s="49"/>
      <c r="E31" s="49"/>
      <c r="F31" s="49"/>
      <c r="G31" s="49"/>
      <c r="H31" s="49"/>
      <c r="I31" s="49"/>
      <c r="J31" s="49"/>
      <c r="K31" s="49"/>
      <c r="L31" s="49"/>
      <c r="M31" s="49"/>
    </row>
  </sheetData>
  <sheetProtection algorithmName="SHA-512" hashValue="xA+xtII+51biIR3SPIobv8VvZIoAeGPlMlrPRLAZhA3px6o7sCTuapkKf7titpCU1ayQ++Ih19l2M8FHUtRjDQ==" saltValue="/P+sWB09TRqGEAO3uXjLzg==" spinCount="100000" sheet="1" objects="1" scenarios="1"/>
  <mergeCells count="6">
    <mergeCell ref="B4:F4"/>
    <mergeCell ref="B5:E5"/>
    <mergeCell ref="B18:M18"/>
    <mergeCell ref="B28:C28"/>
    <mergeCell ref="B2:F2"/>
    <mergeCell ref="H4:M1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27C67-A9AF-43D1-92D7-5F2A7B69A69E}">
  <dimension ref="B2:R63"/>
  <sheetViews>
    <sheetView showGridLines="0" workbookViewId="0"/>
  </sheetViews>
  <sheetFormatPr defaultRowHeight="15" x14ac:dyDescent="0.25"/>
  <cols>
    <col min="1" max="1" width="4.7109375" customWidth="1"/>
    <col min="2" max="2" width="33.85546875" customWidth="1"/>
    <col min="3" max="3" width="12.28515625" customWidth="1"/>
    <col min="4" max="4" width="15" customWidth="1"/>
    <col min="5" max="5" width="15.42578125" customWidth="1"/>
    <col min="6" max="6" width="16.5703125" customWidth="1"/>
    <col min="7" max="7" width="11.7109375" customWidth="1"/>
    <col min="8" max="8" width="10.85546875" customWidth="1"/>
    <col min="9" max="12" width="12.7109375" customWidth="1"/>
    <col min="13" max="13" width="4.7109375" customWidth="1"/>
    <col min="14" max="14" width="13.28515625" customWidth="1"/>
  </cols>
  <sheetData>
    <row r="2" spans="2:12" x14ac:dyDescent="0.25">
      <c r="B2" s="315" t="s">
        <v>174</v>
      </c>
      <c r="C2" s="315"/>
      <c r="D2" s="315"/>
      <c r="E2" s="315"/>
      <c r="F2" s="315"/>
      <c r="G2" s="49"/>
      <c r="H2" s="49"/>
      <c r="I2" s="49"/>
      <c r="J2" s="49"/>
      <c r="K2" s="49"/>
      <c r="L2" s="49"/>
    </row>
    <row r="3" spans="2:12" x14ac:dyDescent="0.25">
      <c r="B3" s="76"/>
      <c r="C3" s="71"/>
      <c r="D3" s="71"/>
      <c r="E3" s="71"/>
      <c r="F3" s="71"/>
      <c r="G3" s="49"/>
      <c r="H3" s="141" t="s">
        <v>61</v>
      </c>
      <c r="I3" s="49"/>
      <c r="J3" s="49"/>
      <c r="K3" s="49"/>
      <c r="L3" s="49"/>
    </row>
    <row r="4" spans="2:12" ht="15.75" thickBot="1" x14ac:dyDescent="0.3">
      <c r="B4" s="328" t="s">
        <v>175</v>
      </c>
      <c r="C4" s="329"/>
      <c r="D4" s="329"/>
      <c r="E4" s="329"/>
      <c r="F4" s="330"/>
      <c r="G4" s="49"/>
      <c r="H4" s="316" t="s">
        <v>256</v>
      </c>
      <c r="I4" s="317"/>
      <c r="J4" s="317"/>
      <c r="K4" s="317"/>
      <c r="L4" s="318"/>
    </row>
    <row r="5" spans="2:12" ht="15.75" thickBot="1" x14ac:dyDescent="0.3">
      <c r="B5" s="311" t="s">
        <v>176</v>
      </c>
      <c r="C5" s="312"/>
      <c r="D5" s="312"/>
      <c r="E5" s="312"/>
      <c r="F5" s="129">
        <f>PB_NetReturn</f>
        <v>0</v>
      </c>
      <c r="G5" s="49"/>
      <c r="H5" s="319"/>
      <c r="I5" s="320"/>
      <c r="J5" s="320"/>
      <c r="K5" s="320"/>
      <c r="L5" s="321"/>
    </row>
    <row r="6" spans="2:12" ht="15.75" thickBot="1" x14ac:dyDescent="0.3">
      <c r="B6" s="49"/>
      <c r="C6" s="49"/>
      <c r="D6" s="49"/>
      <c r="E6" s="49"/>
      <c r="F6" s="49"/>
      <c r="G6" s="49"/>
      <c r="H6" s="319"/>
      <c r="I6" s="320"/>
      <c r="J6" s="320"/>
      <c r="K6" s="320"/>
      <c r="L6" s="321"/>
    </row>
    <row r="7" spans="2:12" x14ac:dyDescent="0.25">
      <c r="B7" s="253" t="s">
        <v>177</v>
      </c>
      <c r="C7" s="254"/>
      <c r="D7" s="254"/>
      <c r="E7" s="254"/>
      <c r="F7" s="255"/>
      <c r="G7" s="49"/>
      <c r="H7" s="319"/>
      <c r="I7" s="320"/>
      <c r="J7" s="320"/>
      <c r="K7" s="320"/>
      <c r="L7" s="321"/>
    </row>
    <row r="8" spans="2:12" ht="30" x14ac:dyDescent="0.25">
      <c r="B8" s="104" t="s">
        <v>178</v>
      </c>
      <c r="C8" s="20" t="s">
        <v>2</v>
      </c>
      <c r="D8" s="37" t="s">
        <v>179</v>
      </c>
      <c r="E8" s="37" t="s">
        <v>3</v>
      </c>
      <c r="F8" s="105" t="s">
        <v>180</v>
      </c>
      <c r="G8" s="49"/>
      <c r="H8" s="319"/>
      <c r="I8" s="320"/>
      <c r="J8" s="320"/>
      <c r="K8" s="320"/>
      <c r="L8" s="321"/>
    </row>
    <row r="9" spans="2:12" x14ac:dyDescent="0.25">
      <c r="B9" s="193"/>
      <c r="C9" s="188"/>
      <c r="D9" s="219"/>
      <c r="E9" s="220"/>
      <c r="F9" s="78">
        <f>PB_AdditionalRevenueTable[Revenue/Unit]*PB_AdditionalRevenueTable[Quantity]</f>
        <v>0</v>
      </c>
      <c r="G9" s="49"/>
      <c r="H9" s="319"/>
      <c r="I9" s="320"/>
      <c r="J9" s="320"/>
      <c r="K9" s="320"/>
      <c r="L9" s="321"/>
    </row>
    <row r="10" spans="2:12" x14ac:dyDescent="0.25">
      <c r="B10" s="193"/>
      <c r="C10" s="188"/>
      <c r="D10" s="219"/>
      <c r="E10" s="220"/>
      <c r="F10" s="78">
        <f>PB_AdditionalRevenueTable[Revenue/Unit]*PB_AdditionalRevenueTable[Quantity]</f>
        <v>0</v>
      </c>
      <c r="G10" s="49"/>
      <c r="H10" s="319"/>
      <c r="I10" s="320"/>
      <c r="J10" s="320"/>
      <c r="K10" s="320"/>
      <c r="L10" s="321"/>
    </row>
    <row r="11" spans="2:12" x14ac:dyDescent="0.25">
      <c r="B11" s="194"/>
      <c r="C11" s="200"/>
      <c r="D11" s="221"/>
      <c r="E11" s="222"/>
      <c r="F11" s="79">
        <f>PB_AdditionalRevenueTable[Revenue/Unit]*PB_AdditionalRevenueTable[Quantity]</f>
        <v>0</v>
      </c>
      <c r="G11" s="49"/>
      <c r="H11" s="319"/>
      <c r="I11" s="320"/>
      <c r="J11" s="320"/>
      <c r="K11" s="320"/>
      <c r="L11" s="321"/>
    </row>
    <row r="12" spans="2:12" x14ac:dyDescent="0.25">
      <c r="B12" s="27" t="s">
        <v>22</v>
      </c>
      <c r="C12" s="39"/>
      <c r="D12" s="82"/>
      <c r="E12" s="82"/>
      <c r="F12" s="79">
        <f>SUBTOTAL(109,PB_AdditionalRevenueTable[Additional Revenue])</f>
        <v>0</v>
      </c>
      <c r="G12" s="49"/>
      <c r="H12" s="319"/>
      <c r="I12" s="320"/>
      <c r="J12" s="320"/>
      <c r="K12" s="320"/>
      <c r="L12" s="321"/>
    </row>
    <row r="13" spans="2:12" ht="45" customHeight="1" x14ac:dyDescent="0.25">
      <c r="B13" s="7" t="s">
        <v>181</v>
      </c>
      <c r="C13" s="20" t="s">
        <v>2</v>
      </c>
      <c r="D13" s="37" t="s">
        <v>179</v>
      </c>
      <c r="E13" s="37" t="s">
        <v>3</v>
      </c>
      <c r="F13" s="8" t="s">
        <v>182</v>
      </c>
      <c r="G13" s="49"/>
      <c r="H13" s="319"/>
      <c r="I13" s="320"/>
      <c r="J13" s="320"/>
      <c r="K13" s="320"/>
      <c r="L13" s="321"/>
    </row>
    <row r="14" spans="2:12" x14ac:dyDescent="0.25">
      <c r="B14" s="188"/>
      <c r="C14" s="188"/>
      <c r="D14" s="219"/>
      <c r="E14" s="220"/>
      <c r="F14" s="106">
        <f>PB_ReducedRevenueTable[Revenue/Unit]*PB_ReducedRevenueTable[Quantity]</f>
        <v>0</v>
      </c>
      <c r="G14" s="49"/>
      <c r="H14" s="319"/>
      <c r="I14" s="320"/>
      <c r="J14" s="320"/>
      <c r="K14" s="320"/>
      <c r="L14" s="321"/>
    </row>
    <row r="15" spans="2:12" x14ac:dyDescent="0.25">
      <c r="B15" s="200"/>
      <c r="C15" s="200"/>
      <c r="D15" s="221"/>
      <c r="E15" s="222"/>
      <c r="F15" s="114">
        <f>PB_ReducedRevenueTable[Revenue/Unit]*PB_ReducedRevenueTable[Quantity]</f>
        <v>0</v>
      </c>
      <c r="G15" s="49"/>
      <c r="H15" s="319"/>
      <c r="I15" s="320"/>
      <c r="J15" s="320"/>
      <c r="K15" s="320"/>
      <c r="L15" s="321"/>
    </row>
    <row r="16" spans="2:12" x14ac:dyDescent="0.25">
      <c r="B16" s="200"/>
      <c r="C16" s="200"/>
      <c r="D16" s="221"/>
      <c r="E16" s="222"/>
      <c r="F16" s="114">
        <f>PB_ReducedRevenueTable[Revenue/Unit]*PB_ReducedRevenueTable[Quantity]</f>
        <v>0</v>
      </c>
      <c r="G16" s="49"/>
      <c r="H16" s="319"/>
      <c r="I16" s="320"/>
      <c r="J16" s="320"/>
      <c r="K16" s="320"/>
      <c r="L16" s="321"/>
    </row>
    <row r="17" spans="2:12" x14ac:dyDescent="0.25">
      <c r="B17" s="39" t="s">
        <v>22</v>
      </c>
      <c r="C17" s="39"/>
      <c r="D17" s="82"/>
      <c r="E17" s="82"/>
      <c r="F17" s="114">
        <f>SUBTOTAL(109,PB_ReducedRevenueTable[Reduced Revenue/Acre])</f>
        <v>0</v>
      </c>
      <c r="G17" s="49"/>
      <c r="H17" s="319"/>
      <c r="I17" s="320"/>
      <c r="J17" s="320"/>
      <c r="K17" s="320"/>
      <c r="L17" s="321"/>
    </row>
    <row r="18" spans="2:12" ht="15.75" thickBot="1" x14ac:dyDescent="0.3">
      <c r="B18" s="83"/>
      <c r="C18" s="83"/>
      <c r="D18" s="83"/>
      <c r="E18" s="83"/>
      <c r="F18" s="84"/>
      <c r="G18" s="49"/>
      <c r="H18" s="319"/>
      <c r="I18" s="320"/>
      <c r="J18" s="320"/>
      <c r="K18" s="320"/>
      <c r="L18" s="321"/>
    </row>
    <row r="19" spans="2:12" ht="15.75" thickBot="1" x14ac:dyDescent="0.3">
      <c r="B19" s="331" t="s">
        <v>183</v>
      </c>
      <c r="C19" s="332"/>
      <c r="D19" s="332"/>
      <c r="E19" s="333"/>
      <c r="F19" s="120">
        <f>PB_AdditionalRevenueTable[[#Totals],[Additional Revenue]]-PB_ReducedRevenueTable[[#Totals],[Reduced Revenue/Acre]]</f>
        <v>0</v>
      </c>
      <c r="G19" s="49"/>
      <c r="H19" s="322"/>
      <c r="I19" s="323"/>
      <c r="J19" s="323"/>
      <c r="K19" s="323"/>
      <c r="L19" s="324"/>
    </row>
    <row r="20" spans="2:12" ht="15.75" thickBot="1" x14ac:dyDescent="0.3">
      <c r="B20" s="49"/>
      <c r="C20" s="49"/>
      <c r="D20" s="49"/>
      <c r="E20" s="49"/>
      <c r="F20" s="49"/>
      <c r="G20" s="49"/>
      <c r="H20" s="18"/>
      <c r="I20" s="49"/>
      <c r="J20" s="49"/>
      <c r="K20" s="49"/>
      <c r="L20" s="49"/>
    </row>
    <row r="21" spans="2:12" x14ac:dyDescent="0.25">
      <c r="B21" s="280" t="s">
        <v>184</v>
      </c>
      <c r="C21" s="281"/>
      <c r="D21" s="281"/>
      <c r="E21" s="281"/>
      <c r="F21" s="282"/>
      <c r="G21" s="49"/>
      <c r="H21" s="316"/>
      <c r="I21" s="317"/>
      <c r="J21" s="317"/>
      <c r="K21" s="317"/>
      <c r="L21" s="318"/>
    </row>
    <row r="22" spans="2:12" x14ac:dyDescent="0.25">
      <c r="B22" s="25" t="s">
        <v>113</v>
      </c>
      <c r="C22" s="108" t="s">
        <v>23</v>
      </c>
      <c r="D22" s="107" t="s">
        <v>185</v>
      </c>
      <c r="E22" s="8" t="s">
        <v>186</v>
      </c>
      <c r="F22" s="8" t="s">
        <v>187</v>
      </c>
      <c r="G22" s="49"/>
      <c r="H22" s="319"/>
      <c r="I22" s="320"/>
      <c r="J22" s="320"/>
      <c r="K22" s="320"/>
      <c r="L22" s="321"/>
    </row>
    <row r="23" spans="2:12" x14ac:dyDescent="0.25">
      <c r="B23" s="223" t="s">
        <v>119</v>
      </c>
      <c r="C23" s="192"/>
      <c r="D23" s="224"/>
      <c r="E23" s="220"/>
      <c r="F23" s="106">
        <f>PB_MaterialsTable[Additional Cost]-PB_MaterialsTable[Reduced Cost]</f>
        <v>0</v>
      </c>
      <c r="G23" s="49"/>
      <c r="H23" s="319"/>
      <c r="I23" s="320"/>
      <c r="J23" s="320"/>
      <c r="K23" s="320"/>
      <c r="L23" s="321"/>
    </row>
    <row r="24" spans="2:12" x14ac:dyDescent="0.25">
      <c r="B24" s="223" t="s">
        <v>116</v>
      </c>
      <c r="C24" s="192"/>
      <c r="D24" s="224"/>
      <c r="E24" s="220"/>
      <c r="F24" s="106">
        <f>PB_MaterialsTable[Additional Cost]-PB_MaterialsTable[Reduced Cost]</f>
        <v>0</v>
      </c>
      <c r="G24" s="49"/>
      <c r="H24" s="319"/>
      <c r="I24" s="320"/>
      <c r="J24" s="320"/>
      <c r="K24" s="320"/>
      <c r="L24" s="321"/>
    </row>
    <row r="25" spans="2:12" x14ac:dyDescent="0.25">
      <c r="B25" s="223" t="s">
        <v>117</v>
      </c>
      <c r="C25" s="192"/>
      <c r="D25" s="224"/>
      <c r="E25" s="220"/>
      <c r="F25" s="106">
        <f>PB_MaterialsTable[Additional Cost]-PB_MaterialsTable[Reduced Cost]</f>
        <v>0</v>
      </c>
      <c r="G25" s="49"/>
      <c r="H25" s="319"/>
      <c r="I25" s="320"/>
      <c r="J25" s="320"/>
      <c r="K25" s="320"/>
      <c r="L25" s="321"/>
    </row>
    <row r="26" spans="2:12" x14ac:dyDescent="0.25">
      <c r="B26" s="223" t="s">
        <v>120</v>
      </c>
      <c r="C26" s="192"/>
      <c r="D26" s="224"/>
      <c r="E26" s="220"/>
      <c r="F26" s="106">
        <f>PB_MaterialsTable[Additional Cost]-PB_MaterialsTable[Reduced Cost]</f>
        <v>0</v>
      </c>
      <c r="G26" s="49"/>
      <c r="H26" s="319"/>
      <c r="I26" s="320"/>
      <c r="J26" s="320"/>
      <c r="K26" s="320"/>
      <c r="L26" s="321"/>
    </row>
    <row r="27" spans="2:12" x14ac:dyDescent="0.25">
      <c r="B27" s="223" t="s">
        <v>121</v>
      </c>
      <c r="C27" s="192"/>
      <c r="D27" s="224"/>
      <c r="E27" s="220"/>
      <c r="F27" s="106">
        <f>PB_MaterialsTable[Additional Cost]-PB_MaterialsTable[Reduced Cost]</f>
        <v>0</v>
      </c>
      <c r="G27" s="49"/>
      <c r="H27" s="319"/>
      <c r="I27" s="320"/>
      <c r="J27" s="320"/>
      <c r="K27" s="320"/>
      <c r="L27" s="321"/>
    </row>
    <row r="28" spans="2:12" x14ac:dyDescent="0.25">
      <c r="B28" s="223" t="s">
        <v>112</v>
      </c>
      <c r="C28" s="192"/>
      <c r="D28" s="224"/>
      <c r="E28" s="220"/>
      <c r="F28" s="106">
        <f>PB_MaterialsTable[Additional Cost]-PB_MaterialsTable[Reduced Cost]</f>
        <v>0</v>
      </c>
      <c r="G28" s="49"/>
      <c r="H28" s="319"/>
      <c r="I28" s="320"/>
      <c r="J28" s="320"/>
      <c r="K28" s="320"/>
      <c r="L28" s="321"/>
    </row>
    <row r="29" spans="2:12" s="49" customFormat="1" x14ac:dyDescent="0.25">
      <c r="B29" s="80" t="s">
        <v>22</v>
      </c>
      <c r="C29" s="27"/>
      <c r="D29" s="113">
        <f>SUBTOTAL(109,PB_MaterialsTable[Additional Cost])</f>
        <v>0</v>
      </c>
      <c r="E29" s="114">
        <f>SUBTOTAL(109,PB_MaterialsTable[Reduced Cost])</f>
        <v>0</v>
      </c>
      <c r="F29" s="114">
        <f>SUBTOTAL(109,PB_MaterialsTable[Net Change])</f>
        <v>0</v>
      </c>
      <c r="H29" s="319"/>
      <c r="I29" s="320"/>
      <c r="J29" s="320"/>
      <c r="K29" s="320"/>
      <c r="L29" s="321"/>
    </row>
    <row r="30" spans="2:12" x14ac:dyDescent="0.25">
      <c r="B30" s="109" t="s">
        <v>122</v>
      </c>
      <c r="C30" s="112" t="s">
        <v>23</v>
      </c>
      <c r="D30" s="110" t="s">
        <v>185</v>
      </c>
      <c r="E30" s="111" t="s">
        <v>186</v>
      </c>
      <c r="F30" s="111" t="s">
        <v>187</v>
      </c>
      <c r="G30" s="49"/>
      <c r="H30" s="319"/>
      <c r="I30" s="320"/>
      <c r="J30" s="320"/>
      <c r="K30" s="320"/>
      <c r="L30" s="321"/>
    </row>
    <row r="31" spans="2:12" x14ac:dyDescent="0.25">
      <c r="B31" s="225" t="s">
        <v>124</v>
      </c>
      <c r="C31" s="192"/>
      <c r="D31" s="224"/>
      <c r="E31" s="220"/>
      <c r="F31" s="106">
        <f>PB_LaborTable[Additional Cost]*PB_LaborTable[Reduced Cost]</f>
        <v>0</v>
      </c>
      <c r="G31" s="49"/>
      <c r="H31" s="319"/>
      <c r="I31" s="320"/>
      <c r="J31" s="320"/>
      <c r="K31" s="320"/>
      <c r="L31" s="321"/>
    </row>
    <row r="32" spans="2:12" x14ac:dyDescent="0.25">
      <c r="B32" s="225" t="s">
        <v>125</v>
      </c>
      <c r="C32" s="192"/>
      <c r="D32" s="224"/>
      <c r="E32" s="220"/>
      <c r="F32" s="106">
        <f>PB_LaborTable[Additional Cost]*PB_LaborTable[Reduced Cost]</f>
        <v>0</v>
      </c>
      <c r="G32" s="49"/>
      <c r="H32" s="319"/>
      <c r="I32" s="320"/>
      <c r="J32" s="320"/>
      <c r="K32" s="320"/>
      <c r="L32" s="321"/>
    </row>
    <row r="33" spans="2:18" x14ac:dyDescent="0.25">
      <c r="B33" s="226" t="s">
        <v>126</v>
      </c>
      <c r="C33" s="227"/>
      <c r="D33" s="228"/>
      <c r="E33" s="229"/>
      <c r="F33" s="155">
        <f>PB_LaborTable[Additional Cost]*PB_LaborTable[Reduced Cost]</f>
        <v>0</v>
      </c>
      <c r="G33" s="49"/>
      <c r="H33" s="319"/>
      <c r="I33" s="320"/>
      <c r="J33" s="320"/>
      <c r="K33" s="320"/>
      <c r="L33" s="321"/>
    </row>
    <row r="34" spans="2:18" x14ac:dyDescent="0.25">
      <c r="B34" s="230" t="s">
        <v>123</v>
      </c>
      <c r="C34" s="231"/>
      <c r="D34" s="224"/>
      <c r="E34" s="220"/>
      <c r="F34" s="106">
        <f>PB_LaborTable[Additional Cost]*PB_LaborTable[Reduced Cost]</f>
        <v>0</v>
      </c>
      <c r="G34" s="49"/>
      <c r="H34" s="319"/>
      <c r="I34" s="320"/>
      <c r="J34" s="320"/>
      <c r="K34" s="320"/>
      <c r="L34" s="321"/>
    </row>
    <row r="35" spans="2:18" s="49" customFormat="1" x14ac:dyDescent="0.25">
      <c r="B35" s="11" t="s">
        <v>22</v>
      </c>
      <c r="C35" s="60"/>
      <c r="D35" s="85">
        <f>SUBTOTAL(109,PB_LaborTable[Additional Cost])</f>
        <v>0</v>
      </c>
      <c r="E35" s="86">
        <f>SUBTOTAL(109,PB_LaborTable[Reduced Cost])</f>
        <v>0</v>
      </c>
      <c r="F35" s="86">
        <f>SUBTOTAL(109,PB_LaborTable[Net Change])</f>
        <v>0</v>
      </c>
      <c r="H35" s="319"/>
      <c r="I35" s="320"/>
      <c r="J35" s="320"/>
      <c r="K35" s="320"/>
      <c r="L35" s="321"/>
    </row>
    <row r="36" spans="2:18" x14ac:dyDescent="0.25">
      <c r="B36" s="109" t="s">
        <v>127</v>
      </c>
      <c r="C36" s="116" t="s">
        <v>23</v>
      </c>
      <c r="D36" s="110" t="s">
        <v>185</v>
      </c>
      <c r="E36" s="111" t="s">
        <v>186</v>
      </c>
      <c r="F36" s="111" t="s">
        <v>187</v>
      </c>
      <c r="G36" s="49"/>
      <c r="H36" s="319"/>
      <c r="I36" s="320"/>
      <c r="J36" s="320"/>
      <c r="K36" s="320"/>
      <c r="L36" s="321"/>
    </row>
    <row r="37" spans="2:18" x14ac:dyDescent="0.25">
      <c r="B37" s="232" t="s">
        <v>34</v>
      </c>
      <c r="C37" s="192"/>
      <c r="D37" s="224"/>
      <c r="E37" s="220"/>
      <c r="F37" s="106">
        <f>PB_EquipOpTable[Additional Cost]*PB_EquipOpTable[Reduced Cost]</f>
        <v>0</v>
      </c>
      <c r="G37" s="49"/>
      <c r="H37" s="319"/>
      <c r="I37" s="320"/>
      <c r="J37" s="320"/>
      <c r="K37" s="320"/>
      <c r="L37" s="321"/>
    </row>
    <row r="38" spans="2:18" x14ac:dyDescent="0.25">
      <c r="B38" s="233" t="s">
        <v>128</v>
      </c>
      <c r="C38" s="191"/>
      <c r="D38" s="224"/>
      <c r="E38" s="220"/>
      <c r="F38" s="106">
        <f>PB_EquipOpTable[Additional Cost]*PB_EquipOpTable[Reduced Cost]</f>
        <v>0</v>
      </c>
      <c r="G38" s="49"/>
      <c r="H38" s="319"/>
      <c r="I38" s="320"/>
      <c r="J38" s="320"/>
      <c r="K38" s="320"/>
      <c r="L38" s="321"/>
    </row>
    <row r="39" spans="2:18" x14ac:dyDescent="0.25">
      <c r="B39" s="230" t="s">
        <v>129</v>
      </c>
      <c r="C39" s="231"/>
      <c r="D39" s="234"/>
      <c r="E39" s="235"/>
      <c r="F39" s="86">
        <f>PB_EquipOpTable[Additional Cost]*PB_EquipOpTable[Reduced Cost]</f>
        <v>0</v>
      </c>
      <c r="G39" s="49"/>
      <c r="H39" s="319"/>
      <c r="I39" s="320"/>
      <c r="J39" s="320"/>
      <c r="K39" s="320"/>
      <c r="L39" s="321"/>
    </row>
    <row r="40" spans="2:18" x14ac:dyDescent="0.25">
      <c r="B40" s="11" t="s">
        <v>22</v>
      </c>
      <c r="C40" s="60"/>
      <c r="D40" s="74">
        <f>SUBTOTAL(109,PB_EquipOpTable[Additional Cost])</f>
        <v>0</v>
      </c>
      <c r="E40" s="74">
        <f>SUBTOTAL(109,PB_EquipOpTable[Reduced Cost])</f>
        <v>0</v>
      </c>
      <c r="F40" s="74">
        <f>SUBTOTAL(109,PB_EquipOpTable[Net Change])</f>
        <v>0</v>
      </c>
      <c r="G40" s="49"/>
      <c r="H40" s="319"/>
      <c r="I40" s="320"/>
      <c r="J40" s="320"/>
      <c r="K40" s="320"/>
      <c r="L40" s="321"/>
    </row>
    <row r="41" spans="2:18" x14ac:dyDescent="0.25">
      <c r="B41" s="87"/>
      <c r="C41" s="71"/>
      <c r="D41" s="71"/>
      <c r="E41" s="71"/>
      <c r="F41" s="71"/>
      <c r="G41" s="49"/>
      <c r="H41" s="319"/>
      <c r="I41" s="320"/>
      <c r="J41" s="320"/>
      <c r="K41" s="320"/>
      <c r="L41" s="321"/>
    </row>
    <row r="42" spans="2:18" x14ac:dyDescent="0.25">
      <c r="B42" s="334" t="s">
        <v>188</v>
      </c>
      <c r="C42" s="335"/>
      <c r="D42" s="88">
        <f>PB_MaterialsTable[[#Totals],[Additional Cost]]+PB_LaborTable[[#Totals],[Additional Cost]]+PB_EquipOpTable[[#Totals],[Additional Cost]]</f>
        <v>0</v>
      </c>
      <c r="E42" s="88">
        <f>PB_MaterialsTable[[#Totals],[Reduced Cost]]+PB_LaborTable[[#Totals],[Reduced Cost]]+PB_EquipOpTable[[#Totals],[Reduced Cost]]</f>
        <v>0</v>
      </c>
      <c r="F42" s="88">
        <f>PB_MaterialsTable[[#Totals],[Net Change]]+PB_LaborTable[[#Totals],[Net Change]]+PB_EquipOpTable[[#Totals],[Net Change]]</f>
        <v>0</v>
      </c>
      <c r="G42" s="49"/>
      <c r="H42" s="319"/>
      <c r="I42" s="320"/>
      <c r="J42" s="320"/>
      <c r="K42" s="320"/>
      <c r="L42" s="321"/>
    </row>
    <row r="43" spans="2:18" ht="15.75" thickBot="1" x14ac:dyDescent="0.3">
      <c r="B43" s="336" t="s">
        <v>189</v>
      </c>
      <c r="C43" s="337"/>
      <c r="D43" s="115" t="s">
        <v>191</v>
      </c>
      <c r="E43" s="236"/>
      <c r="F43" s="89">
        <f>E43*F42</f>
        <v>0</v>
      </c>
      <c r="G43" s="49"/>
      <c r="H43" s="319"/>
      <c r="I43" s="320"/>
      <c r="J43" s="320"/>
      <c r="K43" s="320"/>
      <c r="L43" s="321"/>
    </row>
    <row r="44" spans="2:18" ht="15.75" thickBot="1" x14ac:dyDescent="0.3">
      <c r="B44" s="338" t="s">
        <v>190</v>
      </c>
      <c r="C44" s="339"/>
      <c r="D44" s="90"/>
      <c r="E44" s="90"/>
      <c r="F44" s="121">
        <f>F42+F43</f>
        <v>0</v>
      </c>
      <c r="G44" s="49"/>
      <c r="H44" s="319"/>
      <c r="I44" s="320"/>
      <c r="J44" s="320"/>
      <c r="K44" s="320"/>
      <c r="L44" s="321"/>
    </row>
    <row r="45" spans="2:18" ht="15.75" thickBot="1" x14ac:dyDescent="0.3">
      <c r="B45" s="91"/>
      <c r="C45" s="92"/>
      <c r="D45" s="92"/>
      <c r="E45" s="92"/>
      <c r="F45" s="92"/>
      <c r="G45" s="49"/>
      <c r="H45" s="319"/>
      <c r="I45" s="320"/>
      <c r="J45" s="320"/>
      <c r="K45" s="320"/>
      <c r="L45" s="321"/>
    </row>
    <row r="46" spans="2:18" ht="15.75" thickBot="1" x14ac:dyDescent="0.3">
      <c r="B46" s="93" t="s">
        <v>192</v>
      </c>
      <c r="C46" s="94"/>
      <c r="D46" s="94"/>
      <c r="E46" s="94"/>
      <c r="F46" s="118">
        <f>PB_NetRevenueChange-PB_NetOpCostChange</f>
        <v>0</v>
      </c>
      <c r="G46" s="49"/>
      <c r="H46" s="322"/>
      <c r="I46" s="323"/>
      <c r="J46" s="323"/>
      <c r="K46" s="323"/>
      <c r="L46" s="324"/>
    </row>
    <row r="47" spans="2:18" ht="15.75" thickBot="1" x14ac:dyDescent="0.3">
      <c r="B47" s="95"/>
      <c r="C47" s="49"/>
      <c r="D47" s="49"/>
      <c r="E47" s="49"/>
      <c r="F47" s="49"/>
      <c r="G47" s="49"/>
      <c r="H47" s="49"/>
      <c r="I47" s="49"/>
      <c r="J47" s="49"/>
      <c r="K47" s="49"/>
      <c r="L47" s="49"/>
      <c r="N47" s="139" t="s">
        <v>61</v>
      </c>
    </row>
    <row r="48" spans="2:18" x14ac:dyDescent="0.25">
      <c r="B48" s="253" t="s">
        <v>193</v>
      </c>
      <c r="C48" s="254"/>
      <c r="D48" s="254"/>
      <c r="E48" s="254"/>
      <c r="F48" s="254"/>
      <c r="G48" s="254"/>
      <c r="H48" s="254"/>
      <c r="I48" s="254"/>
      <c r="J48" s="254"/>
      <c r="K48" s="254"/>
      <c r="L48" s="255"/>
      <c r="N48" s="316"/>
      <c r="O48" s="317"/>
      <c r="P48" s="317"/>
      <c r="Q48" s="317"/>
      <c r="R48" s="318"/>
    </row>
    <row r="49" spans="2:18" x14ac:dyDescent="0.25">
      <c r="B49" s="325"/>
      <c r="C49" s="326"/>
      <c r="D49" s="326"/>
      <c r="E49" s="326"/>
      <c r="F49" s="326"/>
      <c r="G49" s="325" t="s">
        <v>194</v>
      </c>
      <c r="H49" s="326"/>
      <c r="I49" s="326"/>
      <c r="J49" s="326"/>
      <c r="K49" s="326"/>
      <c r="L49" s="327"/>
      <c r="N49" s="319"/>
      <c r="O49" s="320"/>
      <c r="P49" s="320"/>
      <c r="Q49" s="320"/>
      <c r="R49" s="321"/>
    </row>
    <row r="50" spans="2:18" ht="30" customHeight="1" x14ac:dyDescent="0.25">
      <c r="B50" s="104" t="s">
        <v>195</v>
      </c>
      <c r="C50" s="8" t="s">
        <v>17</v>
      </c>
      <c r="D50" s="8" t="s">
        <v>9</v>
      </c>
      <c r="E50" s="8" t="s">
        <v>10</v>
      </c>
      <c r="F50" s="8" t="s">
        <v>11</v>
      </c>
      <c r="G50" s="8" t="s">
        <v>12</v>
      </c>
      <c r="H50" s="8" t="s">
        <v>13</v>
      </c>
      <c r="I50" s="8" t="s">
        <v>14</v>
      </c>
      <c r="J50" s="8" t="s">
        <v>15</v>
      </c>
      <c r="K50" s="8" t="s">
        <v>18</v>
      </c>
      <c r="L50" s="8" t="s">
        <v>19</v>
      </c>
      <c r="N50" s="319"/>
      <c r="O50" s="320"/>
      <c r="P50" s="320"/>
      <c r="Q50" s="320"/>
      <c r="R50" s="321"/>
    </row>
    <row r="51" spans="2:18" x14ac:dyDescent="0.25">
      <c r="B51" s="193"/>
      <c r="C51" s="209"/>
      <c r="D51" s="237"/>
      <c r="E51" s="209"/>
      <c r="F51" s="197"/>
      <c r="G51" s="9">
        <f>IF(ISBLANK(PB_AdditionalOwnershipTable[Use Life (Years)]),0,PMT(AnnualInterestRate,PB_AdditionalOwnershipTable[Use Life (Years)],-PB_AdditionalOwnershipTable[Original Cost],PB_AdditionalOwnershipTable[Salvage Value],0))</f>
        <v>0</v>
      </c>
      <c r="H51" s="209"/>
      <c r="I51" s="209"/>
      <c r="J51" s="209"/>
      <c r="K51" s="9">
        <f>PB_AdditionalOwnershipTable[Capital Recovery]*(1-PB_AdditionalOwnershipTable[Financed Portion])</f>
        <v>0</v>
      </c>
      <c r="L51" s="9">
        <f>PB_AdditionalOwnershipTable[Insurance]+PB_AdditionalOwnershipTable[Taxes &amp; Fees]+PB_AdditionalOwnershipTable[Fixed Repairs]+(PB_AdditionalOwnershipTable[Capital Recovery]*PB_AdditionalOwnershipTable[Financed Portion])</f>
        <v>0</v>
      </c>
      <c r="N51" s="319"/>
      <c r="O51" s="320"/>
      <c r="P51" s="320"/>
      <c r="Q51" s="320"/>
      <c r="R51" s="321"/>
    </row>
    <row r="52" spans="2:18" x14ac:dyDescent="0.25">
      <c r="B52" s="238"/>
      <c r="C52" s="239"/>
      <c r="D52" s="240"/>
      <c r="E52" s="239"/>
      <c r="F52" s="199"/>
      <c r="G52" s="9">
        <f>IF(ISBLANK(PB_AdditionalOwnershipTable[Use Life (Years)]),0,PMT(AnnualInterestRate,PB_AdditionalOwnershipTable[Use Life (Years)],-PB_AdditionalOwnershipTable[Original Cost],PB_AdditionalOwnershipTable[Salvage Value],0))</f>
        <v>0</v>
      </c>
      <c r="H52" s="239"/>
      <c r="I52" s="239"/>
      <c r="J52" s="209"/>
      <c r="K52" s="97">
        <f>PB_AdditionalOwnershipTable[Capital Recovery]*(1-PB_AdditionalOwnershipTable[Financed Portion])</f>
        <v>0</v>
      </c>
      <c r="L52" s="97">
        <f>PB_AdditionalOwnershipTable[Insurance]+PB_AdditionalOwnershipTable[Taxes &amp; Fees]+PB_AdditionalOwnershipTable[Fixed Repairs]+(PB_AdditionalOwnershipTable[Capital Recovery]*PB_AdditionalOwnershipTable[Financed Portion])</f>
        <v>0</v>
      </c>
      <c r="N52" s="319"/>
      <c r="O52" s="320"/>
      <c r="P52" s="320"/>
      <c r="Q52" s="320"/>
      <c r="R52" s="321"/>
    </row>
    <row r="53" spans="2:18" x14ac:dyDescent="0.25">
      <c r="B53" s="238"/>
      <c r="C53" s="239"/>
      <c r="D53" s="240"/>
      <c r="E53" s="239"/>
      <c r="F53" s="199"/>
      <c r="G53" s="97">
        <f>IF(ISBLANK(PB_AdditionalOwnershipTable[Use Life (Years)]),0,PMT(AnnualInterestRate,PB_AdditionalOwnershipTable[Use Life (Years)],-PB_AdditionalOwnershipTable[Original Cost],PB_AdditionalOwnershipTable[Salvage Value],0))</f>
        <v>0</v>
      </c>
      <c r="H53" s="239"/>
      <c r="I53" s="239"/>
      <c r="J53" s="209"/>
      <c r="K53" s="97">
        <f>PB_AdditionalOwnershipTable[Capital Recovery]*(1-PB_AdditionalOwnershipTable[Financed Portion])</f>
        <v>0</v>
      </c>
      <c r="L53" s="9">
        <f>PB_AdditionalOwnershipTable[Insurance]+PB_AdditionalOwnershipTable[Taxes &amp; Fees]+PB_AdditionalOwnershipTable[Fixed Repairs]+(PB_AdditionalOwnershipTable[Capital Recovery]*PB_AdditionalOwnershipTable[Financed Portion])</f>
        <v>0</v>
      </c>
      <c r="N53" s="319"/>
      <c r="O53" s="320"/>
      <c r="P53" s="320"/>
      <c r="Q53" s="320"/>
      <c r="R53" s="321"/>
    </row>
    <row r="54" spans="2:18" x14ac:dyDescent="0.25">
      <c r="B54" s="81" t="s">
        <v>22</v>
      </c>
      <c r="C54" s="98">
        <f>SUBTOTAL(109,PB_AdditionalOwnershipTable[Original Cost])</f>
        <v>0</v>
      </c>
      <c r="D54" s="11"/>
      <c r="E54" s="59"/>
      <c r="F54" s="60"/>
      <c r="G54" s="117">
        <f>SUBTOTAL(109,PB_AdditionalOwnershipTable[Capital Recovery])</f>
        <v>0</v>
      </c>
      <c r="H54" s="97">
        <f>SUBTOTAL(109,PB_AdditionalOwnershipTable[Insurance])</f>
        <v>0</v>
      </c>
      <c r="I54" s="97">
        <f>SUBTOTAL(109,PB_AdditionalOwnershipTable[Taxes &amp; Fees])</f>
        <v>0</v>
      </c>
      <c r="J54" s="97">
        <f>SUBTOTAL(109,PB_AdditionalOwnershipTable[Fixed Repairs])</f>
        <v>0</v>
      </c>
      <c r="K54" s="97">
        <f>SUBTOTAL(109,PB_AdditionalOwnershipTable[Total  Noncash Cost])</f>
        <v>0</v>
      </c>
      <c r="L54" s="97">
        <f>SUBTOTAL(109,PB_AdditionalOwnershipTable[Total          Cash Cost])</f>
        <v>0</v>
      </c>
      <c r="N54" s="319"/>
      <c r="O54" s="320"/>
      <c r="P54" s="320"/>
      <c r="Q54" s="320"/>
      <c r="R54" s="321"/>
    </row>
    <row r="55" spans="2:18" ht="30" customHeight="1" x14ac:dyDescent="0.25">
      <c r="B55" s="104" t="s">
        <v>197</v>
      </c>
      <c r="C55" s="8" t="s">
        <v>17</v>
      </c>
      <c r="D55" s="8" t="s">
        <v>9</v>
      </c>
      <c r="E55" s="8" t="s">
        <v>10</v>
      </c>
      <c r="F55" s="8" t="s">
        <v>11</v>
      </c>
      <c r="G55" s="8" t="s">
        <v>12</v>
      </c>
      <c r="H55" s="8" t="s">
        <v>13</v>
      </c>
      <c r="I55" s="8" t="s">
        <v>14</v>
      </c>
      <c r="J55" s="8" t="s">
        <v>15</v>
      </c>
      <c r="K55" s="8" t="s">
        <v>18</v>
      </c>
      <c r="L55" s="105" t="s">
        <v>19</v>
      </c>
      <c r="N55" s="319"/>
      <c r="O55" s="320"/>
      <c r="P55" s="320"/>
      <c r="Q55" s="320"/>
      <c r="R55" s="321"/>
    </row>
    <row r="56" spans="2:18" x14ac:dyDescent="0.25">
      <c r="B56" s="193"/>
      <c r="C56" s="209"/>
      <c r="D56" s="237"/>
      <c r="E56" s="209"/>
      <c r="F56" s="197"/>
      <c r="G56" s="9">
        <f>IF(ISBLANK(PB_ReducedOwnershipTable[Use Life (Years)]),0,PMT(AnnualInterestRate,PB_ReducedOwnershipTable[Use Life (Years)],-PB_ReducedOwnershipTable[Original Cost],PB_ReducedOwnershipTable[Salvage Value],0))</f>
        <v>0</v>
      </c>
      <c r="H56" s="209"/>
      <c r="I56" s="209"/>
      <c r="J56" s="209"/>
      <c r="K56" s="9">
        <f>PB_ReducedOwnershipTable[Capital Recovery]*(1-PB_ReducedOwnershipTable[Financed Portion])</f>
        <v>0</v>
      </c>
      <c r="L56" s="96">
        <f>PB_ReducedOwnershipTable[Insurance]+PB_ReducedOwnershipTable[Taxes &amp; Fees]+PB_ReducedOwnershipTable[Fixed Repairs]+(PB_ReducedOwnershipTable[Capital Recovery]*PB_ReducedOwnershipTable[Financed Portion])</f>
        <v>0</v>
      </c>
      <c r="N56" s="319"/>
      <c r="O56" s="320"/>
      <c r="P56" s="320"/>
      <c r="Q56" s="320"/>
      <c r="R56" s="321"/>
    </row>
    <row r="57" spans="2:18" x14ac:dyDescent="0.25">
      <c r="B57" s="238"/>
      <c r="C57" s="239"/>
      <c r="D57" s="240"/>
      <c r="E57" s="239"/>
      <c r="F57" s="199"/>
      <c r="G57" s="9">
        <f>IF(ISBLANK(PB_ReducedOwnershipTable[Use Life (Years)]),0,PMT(AnnualInterestRate,PB_ReducedOwnershipTable[Use Life (Years)],-PB_ReducedOwnershipTable[Original Cost],PB_ReducedOwnershipTable[Salvage Value],0))</f>
        <v>0</v>
      </c>
      <c r="H57" s="239"/>
      <c r="I57" s="239"/>
      <c r="J57" s="209"/>
      <c r="K57" s="97">
        <f>PB_ReducedOwnershipTable[Capital Recovery]*(1-PB_ReducedOwnershipTable[Financed Portion])</f>
        <v>0</v>
      </c>
      <c r="L57" s="98">
        <f>PB_ReducedOwnershipTable[Insurance]+PB_ReducedOwnershipTable[Taxes &amp; Fees]+PB_ReducedOwnershipTable[Fixed Repairs]+(PB_ReducedOwnershipTable[Capital Recovery]*PB_ReducedOwnershipTable[Financed Portion])</f>
        <v>0</v>
      </c>
      <c r="N57" s="319"/>
      <c r="O57" s="320"/>
      <c r="P57" s="320"/>
      <c r="Q57" s="320"/>
      <c r="R57" s="321"/>
    </row>
    <row r="58" spans="2:18" x14ac:dyDescent="0.25">
      <c r="B58" s="238"/>
      <c r="C58" s="239"/>
      <c r="D58" s="240"/>
      <c r="E58" s="239"/>
      <c r="F58" s="199"/>
      <c r="G58" s="97">
        <f>IF(ISBLANK(PB_ReducedOwnershipTable[Use Life (Years)]),0,PMT(AnnualInterestRate,PB_ReducedOwnershipTable[Use Life (Years)],-PB_ReducedOwnershipTable[Original Cost],PB_ReducedOwnershipTable[Salvage Value],0))</f>
        <v>0</v>
      </c>
      <c r="H58" s="239"/>
      <c r="I58" s="239"/>
      <c r="J58" s="209"/>
      <c r="K58" s="97">
        <f>PB_ReducedOwnershipTable[Capital Recovery]*(1-PB_ReducedOwnershipTable[Financed Portion])</f>
        <v>0</v>
      </c>
      <c r="L58" s="96">
        <f>PB_ReducedOwnershipTable[Insurance]+PB_ReducedOwnershipTable[Taxes &amp; Fees]+PB_ReducedOwnershipTable[Fixed Repairs]+(PB_ReducedOwnershipTable[Capital Recovery]*PB_ReducedOwnershipTable[Financed Portion])</f>
        <v>0</v>
      </c>
      <c r="N58" s="319"/>
      <c r="O58" s="320"/>
      <c r="P58" s="320"/>
      <c r="Q58" s="320"/>
      <c r="R58" s="321"/>
    </row>
    <row r="59" spans="2:18" x14ac:dyDescent="0.25">
      <c r="B59" s="81" t="s">
        <v>22</v>
      </c>
      <c r="C59" s="98">
        <f>SUBTOTAL(109,PB_ReducedOwnershipTable[Original Cost])</f>
        <v>0</v>
      </c>
      <c r="D59" s="11"/>
      <c r="E59" s="59"/>
      <c r="F59" s="60"/>
      <c r="G59" s="117">
        <f>SUBTOTAL(109,PB_ReducedOwnershipTable[Capital Recovery])</f>
        <v>0</v>
      </c>
      <c r="H59" s="97">
        <f>SUBTOTAL(109,PB_ReducedOwnershipTable[Insurance])</f>
        <v>0</v>
      </c>
      <c r="I59" s="97">
        <f>SUBTOTAL(109,PB_ReducedOwnershipTable[Taxes &amp; Fees])</f>
        <v>0</v>
      </c>
      <c r="J59" s="97">
        <f>SUBTOTAL(109,PB_ReducedOwnershipTable[Fixed Repairs])</f>
        <v>0</v>
      </c>
      <c r="K59" s="97">
        <f>SUBTOTAL(109,PB_ReducedOwnershipTable[Total  Noncash Cost])</f>
        <v>0</v>
      </c>
      <c r="L59" s="98">
        <f>SUBTOTAL(109,PB_ReducedOwnershipTable[Total          Cash Cost])</f>
        <v>0</v>
      </c>
      <c r="N59" s="319"/>
      <c r="O59" s="320"/>
      <c r="P59" s="320"/>
      <c r="Q59" s="320"/>
      <c r="R59" s="321"/>
    </row>
    <row r="60" spans="2:18" ht="15.75" thickBot="1" x14ac:dyDescent="0.3">
      <c r="B60" s="99"/>
      <c r="C60" s="49"/>
      <c r="D60" s="49"/>
      <c r="E60" s="99"/>
      <c r="F60" s="99"/>
      <c r="G60" s="49"/>
      <c r="H60" s="99"/>
      <c r="I60" s="99"/>
      <c r="J60" s="49"/>
      <c r="K60" s="99"/>
      <c r="L60" s="49"/>
      <c r="N60" s="319"/>
      <c r="O60" s="320"/>
      <c r="P60" s="320"/>
      <c r="Q60" s="320"/>
      <c r="R60" s="321"/>
    </row>
    <row r="61" spans="2:18" ht="15.75" thickBot="1" x14ac:dyDescent="0.3">
      <c r="B61" s="100" t="s">
        <v>196</v>
      </c>
      <c r="C61" s="101">
        <f>PB_AdditionalOwnershipTable[[#Totals],[Original Cost]]-PB_ReducedOwnershipTable[[#Totals],[Original Cost]]</f>
        <v>0</v>
      </c>
      <c r="D61" s="101"/>
      <c r="E61" s="102"/>
      <c r="F61" s="103"/>
      <c r="G61" s="102">
        <f>PB_AdditionalOwnershipTable[[#Totals],[Capital Recovery]]-PB_ReducedOwnershipTable[[#Totals],[Capital Recovery]]</f>
        <v>0</v>
      </c>
      <c r="H61" s="101">
        <f>PB_AdditionalOwnershipTable[[#Totals],[Insurance]]-PB_ReducedOwnershipTable[[#Totals],[Insurance]]</f>
        <v>0</v>
      </c>
      <c r="I61" s="101">
        <f>PB_AdditionalOwnershipTable[[#Totals],[Taxes &amp; Fees]]-PB_ReducedOwnershipTable[[#Totals],[Taxes &amp; Fees]]</f>
        <v>0</v>
      </c>
      <c r="J61" s="101">
        <f>PB_AdditionalOwnershipTable[[#Totals],[Fixed Repairs]]-PB_ReducedOwnershipTable[[#Totals],[Fixed Repairs]]</f>
        <v>0</v>
      </c>
      <c r="K61" s="101">
        <f>PB_AdditionalOwnershipTable[[#Totals],[Total  Noncash Cost]]-PB_ReducedOwnershipTable[[#Totals],[Total  Noncash Cost]]</f>
        <v>0</v>
      </c>
      <c r="L61" s="122">
        <f>PB_AdditionalOwnershipTable[[#Totals],[Total          Cash Cost]]-PB_ReducedOwnershipTable[[#Totals],[Total          Cash Cost]]</f>
        <v>0</v>
      </c>
      <c r="N61" s="319"/>
      <c r="O61" s="320"/>
      <c r="P61" s="320"/>
      <c r="Q61" s="320"/>
      <c r="R61" s="321"/>
    </row>
    <row r="62" spans="2:18" ht="15.75" thickBot="1" x14ac:dyDescent="0.3">
      <c r="B62" s="92"/>
      <c r="C62" s="92"/>
      <c r="D62" s="92"/>
      <c r="E62" s="92"/>
      <c r="F62" s="92"/>
      <c r="G62" s="92"/>
      <c r="H62" s="92"/>
      <c r="I62" s="92"/>
      <c r="J62" s="92"/>
      <c r="K62" s="92"/>
      <c r="L62" s="92"/>
      <c r="N62" s="319"/>
      <c r="O62" s="320"/>
      <c r="P62" s="320"/>
      <c r="Q62" s="320"/>
      <c r="R62" s="321"/>
    </row>
    <row r="63" spans="2:18" ht="15.75" thickBot="1" x14ac:dyDescent="0.3">
      <c r="B63" s="93" t="s">
        <v>198</v>
      </c>
      <c r="C63" s="94"/>
      <c r="D63" s="94"/>
      <c r="E63" s="94"/>
      <c r="F63" s="94"/>
      <c r="G63" s="94"/>
      <c r="H63" s="94"/>
      <c r="I63" s="94"/>
      <c r="J63" s="94"/>
      <c r="K63" s="94"/>
      <c r="L63" s="119">
        <f>PB_NetRevenueChange-PB_NetOpCostChange-PB_NetOwnershipChange</f>
        <v>0</v>
      </c>
      <c r="N63" s="322"/>
      <c r="O63" s="323"/>
      <c r="P63" s="323"/>
      <c r="Q63" s="323"/>
      <c r="R63" s="324"/>
    </row>
  </sheetData>
  <sheetProtection algorithmName="SHA-512" hashValue="up4hfqtjVNi4HpGziglIyIWEVR3AnBIYa/ytGRXhY5boUQSSuR30YeMDaiWWtWuOiMMR+/Qcuy5He8fLkURaqw==" saltValue="WNVgrTRcbMKPlL3zMHB45A==" spinCount="100000" sheet="1" objects="1" scenarios="1"/>
  <mergeCells count="15">
    <mergeCell ref="N48:R63"/>
    <mergeCell ref="B49:F49"/>
    <mergeCell ref="G49:L49"/>
    <mergeCell ref="B2:F2"/>
    <mergeCell ref="B7:F7"/>
    <mergeCell ref="B21:F21"/>
    <mergeCell ref="B48:L48"/>
    <mergeCell ref="B4:F4"/>
    <mergeCell ref="B5:E5"/>
    <mergeCell ref="B19:E19"/>
    <mergeCell ref="B42:C42"/>
    <mergeCell ref="B43:C43"/>
    <mergeCell ref="B44:C44"/>
    <mergeCell ref="H4:L19"/>
    <mergeCell ref="H21:L46"/>
  </mergeCells>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469A-8DA6-4CDB-BD4E-053E985E6893}">
  <dimension ref="B2:M50"/>
  <sheetViews>
    <sheetView showGridLines="0" zoomScaleNormal="100" workbookViewId="0"/>
  </sheetViews>
  <sheetFormatPr defaultRowHeight="15" x14ac:dyDescent="0.25"/>
  <cols>
    <col min="1" max="1" width="4.7109375" customWidth="1"/>
    <col min="2" max="2" width="38.7109375" customWidth="1"/>
    <col min="3" max="5" width="15.7109375" customWidth="1"/>
    <col min="6" max="6" width="4.7109375" customWidth="1"/>
    <col min="7" max="7" width="70.7109375" customWidth="1"/>
  </cols>
  <sheetData>
    <row r="2" spans="2:13" x14ac:dyDescent="0.25">
      <c r="B2" s="260" t="s">
        <v>65</v>
      </c>
      <c r="C2" s="260"/>
      <c r="D2" s="260"/>
      <c r="E2" s="260"/>
    </row>
    <row r="3" spans="2:13" ht="15.75" thickBot="1" x14ac:dyDescent="0.3">
      <c r="B3" s="261"/>
      <c r="C3" s="261"/>
      <c r="D3" s="261"/>
      <c r="E3" s="261"/>
      <c r="G3" s="134" t="s">
        <v>61</v>
      </c>
    </row>
    <row r="4" spans="2:13" ht="15" customHeight="1" x14ac:dyDescent="0.25">
      <c r="B4" s="253" t="s">
        <v>102</v>
      </c>
      <c r="C4" s="254"/>
      <c r="D4" s="254"/>
      <c r="E4" s="255"/>
      <c r="G4" s="267" t="s">
        <v>246</v>
      </c>
      <c r="H4" s="77"/>
      <c r="I4" s="77"/>
      <c r="J4" s="77"/>
      <c r="K4" s="77"/>
      <c r="L4" s="77"/>
      <c r="M4" s="77"/>
    </row>
    <row r="5" spans="2:13" ht="15" customHeight="1" x14ac:dyDescent="0.25">
      <c r="B5" s="51" t="str">
        <f>ConfigurationYieldPrice!B4</f>
        <v>Crop Variety:</v>
      </c>
      <c r="C5" s="265" t="str">
        <f>ConfigurationYieldPrice!C4</f>
        <v>Greenhouse Cluster Tomatoes (Indeterminant)</v>
      </c>
      <c r="D5" s="265"/>
      <c r="E5" s="266"/>
      <c r="G5" s="268"/>
      <c r="H5" s="77"/>
      <c r="I5" s="77"/>
      <c r="J5" s="77"/>
      <c r="K5" s="77"/>
      <c r="L5" s="77"/>
      <c r="M5" s="77"/>
    </row>
    <row r="6" spans="2:13" x14ac:dyDescent="0.25">
      <c r="B6" s="51" t="str">
        <f>ConfigurationYieldPrice!B5</f>
        <v>Production System:</v>
      </c>
      <c r="C6" s="265" t="str">
        <f>ConfigurationYieldPrice!C5</f>
        <v>Layflat Growbags with Cocofiber</v>
      </c>
      <c r="D6" s="265"/>
      <c r="E6" s="266"/>
      <c r="G6" s="268"/>
      <c r="H6" s="77"/>
      <c r="I6" s="77"/>
      <c r="J6" s="77"/>
      <c r="K6" s="77"/>
      <c r="L6" s="77"/>
      <c r="M6" s="77"/>
    </row>
    <row r="7" spans="2:13" x14ac:dyDescent="0.25">
      <c r="B7" s="51" t="str">
        <f>ConfigurationYieldPrice!B6</f>
        <v>Structure Type:</v>
      </c>
      <c r="C7" s="265" t="str">
        <f>ConfigurationYieldPrice!C6</f>
        <v>Fan &amp; Pad Greenhouse</v>
      </c>
      <c r="D7" s="265"/>
      <c r="E7" s="266"/>
      <c r="G7" s="268"/>
      <c r="H7" s="77"/>
      <c r="I7" s="77"/>
      <c r="J7" s="77"/>
      <c r="K7" s="77"/>
      <c r="L7" s="77"/>
      <c r="M7" s="77"/>
    </row>
    <row r="8" spans="2:13" x14ac:dyDescent="0.25">
      <c r="B8" s="51" t="str">
        <f>ConfigurationYieldPrice!B7</f>
        <v>Production Scale:</v>
      </c>
      <c r="C8" s="265" t="str">
        <f>ConfigurationYieldPrice!C7</f>
        <v>Full 30' x 96' Greenhouse</v>
      </c>
      <c r="D8" s="265"/>
      <c r="E8" s="266"/>
      <c r="G8" s="268"/>
      <c r="H8" s="77"/>
      <c r="I8" s="77"/>
      <c r="J8" s="77"/>
      <c r="K8" s="77"/>
      <c r="L8" s="77"/>
      <c r="M8" s="77"/>
    </row>
    <row r="9" spans="2:13" x14ac:dyDescent="0.25">
      <c r="B9" s="51" t="s">
        <v>216</v>
      </c>
      <c r="C9" s="273">
        <f>ConfigurationYieldPrice!E20</f>
        <v>0</v>
      </c>
      <c r="D9" s="273"/>
      <c r="E9" s="274"/>
      <c r="G9" s="269"/>
      <c r="H9" s="77"/>
      <c r="I9" s="77"/>
      <c r="J9" s="77"/>
      <c r="K9" s="77"/>
      <c r="L9" s="77"/>
      <c r="M9" s="77"/>
    </row>
    <row r="10" spans="2:13" ht="15.75" thickBot="1" x14ac:dyDescent="0.3">
      <c r="B10" s="262"/>
      <c r="C10" s="262"/>
      <c r="D10" s="262"/>
      <c r="E10" s="262"/>
      <c r="G10" s="173"/>
    </row>
    <row r="11" spans="2:13" x14ac:dyDescent="0.25">
      <c r="B11" s="253" t="s">
        <v>110</v>
      </c>
      <c r="C11" s="254"/>
      <c r="D11" s="254"/>
      <c r="E11" s="255"/>
      <c r="G11" s="270" t="s">
        <v>245</v>
      </c>
    </row>
    <row r="12" spans="2:13" x14ac:dyDescent="0.25">
      <c r="B12" s="15" t="s">
        <v>104</v>
      </c>
      <c r="C12" s="15" t="s">
        <v>105</v>
      </c>
      <c r="D12" s="15" t="s">
        <v>106</v>
      </c>
      <c r="E12" s="263"/>
      <c r="G12" s="271"/>
    </row>
    <row r="13" spans="2:13" x14ac:dyDescent="0.25">
      <c r="B13" s="61">
        <f>PlantsStartedPerYear</f>
        <v>0</v>
      </c>
      <c r="C13" s="61">
        <f>HarvestQuantityPerYear</f>
        <v>0</v>
      </c>
      <c r="D13" s="62">
        <f>HarvestUnit</f>
        <v>0</v>
      </c>
      <c r="E13" s="264"/>
      <c r="G13" s="271"/>
    </row>
    <row r="14" spans="2:13" x14ac:dyDescent="0.25">
      <c r="B14" s="15" t="s">
        <v>109</v>
      </c>
      <c r="C14" s="15" t="s">
        <v>107</v>
      </c>
      <c r="D14" s="15" t="s">
        <v>108</v>
      </c>
      <c r="E14" s="35" t="s">
        <v>87</v>
      </c>
      <c r="G14" s="271"/>
    </row>
    <row r="15" spans="2:13" x14ac:dyDescent="0.25">
      <c r="B15" s="63">
        <f>AveragePrice</f>
        <v>0</v>
      </c>
      <c r="C15" s="61">
        <f>MarketQuantityPerYear</f>
        <v>0</v>
      </c>
      <c r="D15" s="62">
        <f>MarketUnit</f>
        <v>0</v>
      </c>
      <c r="E15" s="64">
        <f>SalesRevenuePerYear</f>
        <v>0</v>
      </c>
      <c r="G15" s="272"/>
    </row>
    <row r="16" spans="2:13" ht="15.75" thickBot="1" x14ac:dyDescent="0.3">
      <c r="B16" s="262"/>
      <c r="C16" s="262"/>
      <c r="D16" s="262"/>
      <c r="E16" s="262"/>
      <c r="G16" s="173"/>
    </row>
    <row r="17" spans="2:7" x14ac:dyDescent="0.25">
      <c r="B17" s="253" t="s">
        <v>149</v>
      </c>
      <c r="C17" s="254"/>
      <c r="D17" s="254"/>
      <c r="E17" s="255"/>
      <c r="G17" s="267" t="s">
        <v>228</v>
      </c>
    </row>
    <row r="18" spans="2:7" x14ac:dyDescent="0.25">
      <c r="B18" s="258" t="s">
        <v>113</v>
      </c>
      <c r="C18" s="258"/>
      <c r="D18" s="35" t="s">
        <v>114</v>
      </c>
      <c r="E18" s="35" t="s">
        <v>115</v>
      </c>
      <c r="G18" s="268"/>
    </row>
    <row r="19" spans="2:7" x14ac:dyDescent="0.25">
      <c r="B19" s="252" t="s">
        <v>119</v>
      </c>
      <c r="C19" s="252"/>
      <c r="D19" s="146"/>
      <c r="E19" s="65">
        <f>MaterialsDetail_TransplantTable[[#Totals],[Annual Cost]]</f>
        <v>0</v>
      </c>
      <c r="G19" s="268"/>
    </row>
    <row r="20" spans="2:7" x14ac:dyDescent="0.25">
      <c r="B20" s="252" t="s">
        <v>116</v>
      </c>
      <c r="C20" s="252"/>
      <c r="D20" s="147"/>
      <c r="E20" s="9">
        <f>MaterialsDetail_MediaTable[[#Totals],[Annual Cost]]</f>
        <v>0</v>
      </c>
      <c r="G20" s="268"/>
    </row>
    <row r="21" spans="2:7" x14ac:dyDescent="0.25">
      <c r="B21" s="252" t="s">
        <v>117</v>
      </c>
      <c r="C21" s="252"/>
      <c r="D21" s="147"/>
      <c r="E21" s="9">
        <f>MaterialsDetail_FertilizerTable[[#Totals],[Annual Cost]]</f>
        <v>0</v>
      </c>
      <c r="G21" s="268"/>
    </row>
    <row r="22" spans="2:7" x14ac:dyDescent="0.25">
      <c r="B22" s="252" t="s">
        <v>120</v>
      </c>
      <c r="C22" s="252"/>
      <c r="D22" s="147"/>
      <c r="E22" s="9">
        <f>MaterialsDetail_PestMgtTable[[#Totals],[Annual Cost]]</f>
        <v>0</v>
      </c>
      <c r="G22" s="268"/>
    </row>
    <row r="23" spans="2:7" x14ac:dyDescent="0.25">
      <c r="B23" s="252" t="s">
        <v>121</v>
      </c>
      <c r="C23" s="252"/>
      <c r="D23" s="147"/>
      <c r="E23" s="9">
        <f>MaterialsDetail_OtherTable[[#Totals],[Annual Cost]]</f>
        <v>0</v>
      </c>
      <c r="G23" s="268"/>
    </row>
    <row r="24" spans="2:7" ht="15.75" thickBot="1" x14ac:dyDescent="0.3">
      <c r="B24" s="257" t="s">
        <v>240</v>
      </c>
      <c r="C24" s="257"/>
      <c r="D24" s="148"/>
      <c r="E24" s="66">
        <f>MaterialsDetail_Marketing[[#Totals],[Annual Cost]]</f>
        <v>0</v>
      </c>
      <c r="G24" s="268"/>
    </row>
    <row r="25" spans="2:7" x14ac:dyDescent="0.25">
      <c r="B25" s="57" t="s">
        <v>122</v>
      </c>
      <c r="C25" s="58" t="s">
        <v>132</v>
      </c>
      <c r="D25" s="58" t="s">
        <v>114</v>
      </c>
      <c r="E25" s="58" t="s">
        <v>115</v>
      </c>
      <c r="G25" s="268"/>
    </row>
    <row r="26" spans="2:7" x14ac:dyDescent="0.25">
      <c r="B26" s="54" t="s">
        <v>242</v>
      </c>
      <c r="C26" s="26">
        <f>LaborDetail_ProductionHours</f>
        <v>0</v>
      </c>
      <c r="D26" s="147"/>
      <c r="E26" s="9">
        <f>LaborDetail_ProductionLaborCost</f>
        <v>0</v>
      </c>
      <c r="G26" s="268"/>
    </row>
    <row r="27" spans="2:7" x14ac:dyDescent="0.25">
      <c r="B27" s="135" t="s">
        <v>243</v>
      </c>
      <c r="C27" s="26">
        <f>LaborDetail_HarvestPackHours</f>
        <v>0</v>
      </c>
      <c r="D27" s="147"/>
      <c r="E27" s="9">
        <f>LaborDetail_HarvestPackLaborCost</f>
        <v>0</v>
      </c>
      <c r="G27" s="268"/>
    </row>
    <row r="28" spans="2:7" ht="15.75" thickBot="1" x14ac:dyDescent="0.3">
      <c r="B28" s="56" t="s">
        <v>123</v>
      </c>
      <c r="C28" s="145">
        <f>LaborDetail_UnpaidHours</f>
        <v>0</v>
      </c>
      <c r="D28" s="66">
        <f>LaborDetail_UnpaidValue</f>
        <v>0</v>
      </c>
      <c r="E28" s="148"/>
      <c r="G28" s="268"/>
    </row>
    <row r="29" spans="2:7" x14ac:dyDescent="0.25">
      <c r="B29" s="256" t="s">
        <v>127</v>
      </c>
      <c r="C29" s="256"/>
      <c r="D29" s="58" t="s">
        <v>114</v>
      </c>
      <c r="E29" s="58" t="s">
        <v>115</v>
      </c>
      <c r="G29" s="268"/>
    </row>
    <row r="30" spans="2:7" x14ac:dyDescent="0.25">
      <c r="B30" s="252" t="s">
        <v>34</v>
      </c>
      <c r="C30" s="252"/>
      <c r="D30" s="147"/>
      <c r="E30" s="9">
        <f>VariableOverhead_EquipOpTable[[#Totals],[Electricity Cost/Week]]</f>
        <v>0</v>
      </c>
      <c r="G30" s="268"/>
    </row>
    <row r="31" spans="2:7" x14ac:dyDescent="0.25">
      <c r="B31" s="252" t="s">
        <v>128</v>
      </c>
      <c r="C31" s="252"/>
      <c r="D31" s="147"/>
      <c r="E31" s="9">
        <f>VariableOverhead_EquipOpTable[[#Totals],[Fuel Cost/Week]]</f>
        <v>0</v>
      </c>
      <c r="G31" s="268"/>
    </row>
    <row r="32" spans="2:7" ht="15.75" thickBot="1" x14ac:dyDescent="0.3">
      <c r="B32" s="257" t="s">
        <v>129</v>
      </c>
      <c r="C32" s="257"/>
      <c r="D32" s="148"/>
      <c r="E32" s="66">
        <f>VariableOverhead_EquipOpTable[[#Totals],[Repair Cost/Week]]</f>
        <v>0</v>
      </c>
      <c r="G32" s="268"/>
    </row>
    <row r="33" spans="2:7" x14ac:dyDescent="0.25">
      <c r="B33" s="57" t="s">
        <v>133</v>
      </c>
      <c r="C33" s="57" t="s">
        <v>134</v>
      </c>
      <c r="D33" s="58" t="s">
        <v>226</v>
      </c>
      <c r="E33" s="58" t="s">
        <v>115</v>
      </c>
      <c r="G33" s="268"/>
    </row>
    <row r="34" spans="2:7" x14ac:dyDescent="0.25">
      <c r="B34" s="5" t="s">
        <v>135</v>
      </c>
      <c r="C34" s="174">
        <v>5.0000000000000001E-3</v>
      </c>
      <c r="D34" s="175">
        <v>6</v>
      </c>
      <c r="E34" s="9">
        <f>(((1+C34)^D34)-1)*SUM(E18:E32)</f>
        <v>0</v>
      </c>
      <c r="G34" s="268"/>
    </row>
    <row r="35" spans="2:7" x14ac:dyDescent="0.25">
      <c r="B35" s="258" t="s">
        <v>136</v>
      </c>
      <c r="C35" s="258"/>
      <c r="D35" s="50">
        <f>SUM(D18:D32)</f>
        <v>0</v>
      </c>
      <c r="E35" s="50">
        <f>SUM(E18:E34)</f>
        <v>0</v>
      </c>
      <c r="G35" s="269"/>
    </row>
    <row r="36" spans="2:7" ht="15.75" thickBot="1" x14ac:dyDescent="0.3">
      <c r="B36" s="262"/>
      <c r="C36" s="262"/>
      <c r="D36" s="262"/>
      <c r="E36" s="262"/>
      <c r="G36" s="173"/>
    </row>
    <row r="37" spans="2:7" x14ac:dyDescent="0.25">
      <c r="B37" s="253" t="s">
        <v>137</v>
      </c>
      <c r="C37" s="254"/>
      <c r="D37" s="254"/>
      <c r="E37" s="255"/>
      <c r="G37" s="267" t="s">
        <v>227</v>
      </c>
    </row>
    <row r="38" spans="2:7" x14ac:dyDescent="0.25">
      <c r="B38" s="252"/>
      <c r="C38" s="252"/>
      <c r="D38" s="35" t="s">
        <v>114</v>
      </c>
      <c r="E38" s="35" t="s">
        <v>115</v>
      </c>
      <c r="G38" s="268"/>
    </row>
    <row r="39" spans="2:7" x14ac:dyDescent="0.25">
      <c r="B39" s="259" t="s">
        <v>138</v>
      </c>
      <c r="C39" s="259"/>
      <c r="D39" s="9">
        <f>FixedOverhead_GreenhouseTable[[#Totals],[Total  Noncash Cost]]</f>
        <v>0</v>
      </c>
      <c r="E39" s="9">
        <f>FixedOverhead_GreenhouseTable[[#Totals],[Total          Cash Cost]]</f>
        <v>0</v>
      </c>
      <c r="G39" s="268"/>
    </row>
    <row r="40" spans="2:7" x14ac:dyDescent="0.25">
      <c r="B40" s="259" t="s">
        <v>139</v>
      </c>
      <c r="C40" s="259"/>
      <c r="D40" s="9">
        <f>FixedOverhead_EquipmentTable[[#Totals],[Total  Noncash Cost]]</f>
        <v>0</v>
      </c>
      <c r="E40" s="9">
        <f>FixedOverhead_EquipmentTable[[#Totals],[Total          Cash Cost]]</f>
        <v>0</v>
      </c>
      <c r="G40" s="268"/>
    </row>
    <row r="41" spans="2:7" x14ac:dyDescent="0.25">
      <c r="B41" s="259" t="s">
        <v>140</v>
      </c>
      <c r="C41" s="259"/>
      <c r="D41" s="9">
        <f>FixedOverhead_GeneralTable[[#Totals],[Total  Noncash Cost]]</f>
        <v>0</v>
      </c>
      <c r="E41" s="9">
        <f>FixedOverhead_GeneralTable[[#Totals],[Total          Cash Cost]]</f>
        <v>0</v>
      </c>
      <c r="G41" s="268"/>
    </row>
    <row r="42" spans="2:7" x14ac:dyDescent="0.25">
      <c r="B42" s="275" t="s">
        <v>136</v>
      </c>
      <c r="C42" s="276"/>
      <c r="D42" s="50">
        <f>SUM(D39:D41)</f>
        <v>0</v>
      </c>
      <c r="E42" s="50">
        <f>SUM(E39:E41)</f>
        <v>0</v>
      </c>
      <c r="G42" s="269"/>
    </row>
    <row r="43" spans="2:7" ht="15.75" thickBot="1" x14ac:dyDescent="0.3">
      <c r="B43" s="262"/>
      <c r="C43" s="262"/>
      <c r="D43" s="262"/>
      <c r="E43" s="262"/>
      <c r="G43" s="173"/>
    </row>
    <row r="44" spans="2:7" x14ac:dyDescent="0.25">
      <c r="B44" s="253" t="s">
        <v>141</v>
      </c>
      <c r="C44" s="254"/>
      <c r="D44" s="254"/>
      <c r="E44" s="255"/>
      <c r="G44" s="267" t="s">
        <v>229</v>
      </c>
    </row>
    <row r="45" spans="2:7" x14ac:dyDescent="0.25">
      <c r="B45" s="252" t="s">
        <v>148</v>
      </c>
      <c r="C45" s="252"/>
      <c r="D45" s="252"/>
      <c r="E45" s="9">
        <f>TotalVariableCashCosts+TotalVariableNoncashCosts</f>
        <v>0</v>
      </c>
      <c r="G45" s="268"/>
    </row>
    <row r="46" spans="2:7" x14ac:dyDescent="0.25">
      <c r="B46" s="252" t="s">
        <v>142</v>
      </c>
      <c r="C46" s="252"/>
      <c r="D46" s="252"/>
      <c r="E46" s="9">
        <f>TotalFixedCashCosts+TotalVariableCashCosts</f>
        <v>0</v>
      </c>
      <c r="G46" s="268"/>
    </row>
    <row r="47" spans="2:7" ht="15.75" thickBot="1" x14ac:dyDescent="0.3">
      <c r="B47" s="257" t="s">
        <v>143</v>
      </c>
      <c r="C47" s="257"/>
      <c r="D47" s="257"/>
      <c r="E47" s="66">
        <f>TotalFixedCashCosts+TotalFixedNoncashCosts+TotalVariableCashCosts+TotalVariableNoncashCosts</f>
        <v>0</v>
      </c>
      <c r="G47" s="268"/>
    </row>
    <row r="48" spans="2:7" x14ac:dyDescent="0.25">
      <c r="B48" s="251" t="s">
        <v>147</v>
      </c>
      <c r="C48" s="251"/>
      <c r="D48" s="251"/>
      <c r="E48" s="67">
        <f>SalesRevenuePerYear-TotalVariableCost</f>
        <v>0</v>
      </c>
      <c r="G48" s="268"/>
    </row>
    <row r="49" spans="2:7" x14ac:dyDescent="0.25">
      <c r="B49" s="252" t="s">
        <v>144</v>
      </c>
      <c r="C49" s="252"/>
      <c r="D49" s="252"/>
      <c r="E49" s="9">
        <f>SalesRevenuePerYear-TotalCashCosts</f>
        <v>0</v>
      </c>
      <c r="G49" s="268"/>
    </row>
    <row r="50" spans="2:7" x14ac:dyDescent="0.25">
      <c r="B50" s="252" t="s">
        <v>145</v>
      </c>
      <c r="C50" s="252"/>
      <c r="D50" s="252"/>
      <c r="E50" s="9">
        <f>SalesRevenuePerYear-TotalCosts</f>
        <v>0</v>
      </c>
      <c r="G50" s="269"/>
    </row>
  </sheetData>
  <sheetProtection algorithmName="SHA-512" hashValue="ZpUbmoUa/cAtDXVw6T8mwaqRLC58jKbAKh82uRiMF9LpqWvhOqkPJwBQgcN3EW/iwpW+UH4kq0M0du7v3X3tJg==" saltValue="s27R77gmDBSxm+YZWrOfog==" spinCount="100000" sheet="1" objects="1" scenarios="1"/>
  <mergeCells count="45">
    <mergeCell ref="G4:G9"/>
    <mergeCell ref="G11:G15"/>
    <mergeCell ref="B46:D46"/>
    <mergeCell ref="C9:E9"/>
    <mergeCell ref="C7:E7"/>
    <mergeCell ref="C8:E8"/>
    <mergeCell ref="B19:C19"/>
    <mergeCell ref="B20:C20"/>
    <mergeCell ref="B18:C18"/>
    <mergeCell ref="B43:E43"/>
    <mergeCell ref="C5:E5"/>
    <mergeCell ref="B45:D45"/>
    <mergeCell ref="B42:C42"/>
    <mergeCell ref="G17:G35"/>
    <mergeCell ref="G37:G42"/>
    <mergeCell ref="G44:G50"/>
    <mergeCell ref="B2:E2"/>
    <mergeCell ref="B3:E3"/>
    <mergeCell ref="B10:E10"/>
    <mergeCell ref="B16:E16"/>
    <mergeCell ref="B36:E36"/>
    <mergeCell ref="B21:C21"/>
    <mergeCell ref="B22:C22"/>
    <mergeCell ref="B23:C23"/>
    <mergeCell ref="B24:C24"/>
    <mergeCell ref="B17:E17"/>
    <mergeCell ref="B11:E11"/>
    <mergeCell ref="E12:E13"/>
    <mergeCell ref="C6:E6"/>
    <mergeCell ref="B4:E4"/>
    <mergeCell ref="B48:D48"/>
    <mergeCell ref="B49:D49"/>
    <mergeCell ref="B50:D50"/>
    <mergeCell ref="B44:E44"/>
    <mergeCell ref="B29:C29"/>
    <mergeCell ref="B30:C30"/>
    <mergeCell ref="B31:C31"/>
    <mergeCell ref="B32:C32"/>
    <mergeCell ref="B35:C35"/>
    <mergeCell ref="B38:C38"/>
    <mergeCell ref="B39:C39"/>
    <mergeCell ref="B40:C40"/>
    <mergeCell ref="B41:C41"/>
    <mergeCell ref="B37:E37"/>
    <mergeCell ref="B47:D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263ED-E163-4A7B-9206-90CA4BCFA911}">
  <dimension ref="B2:I39"/>
  <sheetViews>
    <sheetView showGridLines="0" workbookViewId="0"/>
  </sheetViews>
  <sheetFormatPr defaultRowHeight="15" x14ac:dyDescent="0.25"/>
  <cols>
    <col min="1" max="1" width="4.7109375" customWidth="1"/>
    <col min="2" max="2" width="33" customWidth="1"/>
    <col min="3" max="3" width="14.5703125" customWidth="1"/>
    <col min="4" max="4" width="15.42578125" customWidth="1"/>
    <col min="5" max="5" width="14.140625" customWidth="1"/>
    <col min="6" max="6" width="13.85546875" customWidth="1"/>
    <col min="7" max="7" width="4.7109375" customWidth="1"/>
    <col min="8" max="8" width="70.7109375" customWidth="1"/>
  </cols>
  <sheetData>
    <row r="2" spans="2:8" x14ac:dyDescent="0.25">
      <c r="B2" s="260" t="s">
        <v>77</v>
      </c>
      <c r="C2" s="260"/>
      <c r="D2" s="260"/>
      <c r="E2" s="260"/>
      <c r="F2" s="260"/>
    </row>
    <row r="3" spans="2:8" x14ac:dyDescent="0.25">
      <c r="H3" s="139" t="s">
        <v>61</v>
      </c>
    </row>
    <row r="4" spans="2:8" x14ac:dyDescent="0.25">
      <c r="B4" s="17" t="s">
        <v>0</v>
      </c>
      <c r="C4" s="292" t="s">
        <v>91</v>
      </c>
      <c r="D4" s="293"/>
      <c r="E4" s="293"/>
      <c r="F4" s="294"/>
      <c r="H4" s="267" t="s">
        <v>230</v>
      </c>
    </row>
    <row r="5" spans="2:8" x14ac:dyDescent="0.25">
      <c r="B5" s="17" t="s">
        <v>1</v>
      </c>
      <c r="C5" s="292" t="s">
        <v>92</v>
      </c>
      <c r="D5" s="293"/>
      <c r="E5" s="293"/>
      <c r="F5" s="294"/>
      <c r="H5" s="268"/>
    </row>
    <row r="6" spans="2:8" x14ac:dyDescent="0.25">
      <c r="B6" s="17" t="s">
        <v>67</v>
      </c>
      <c r="C6" s="292" t="s">
        <v>103</v>
      </c>
      <c r="D6" s="293"/>
      <c r="E6" s="293"/>
      <c r="F6" s="294"/>
      <c r="H6" s="268"/>
    </row>
    <row r="7" spans="2:8" x14ac:dyDescent="0.25">
      <c r="B7" s="17" t="s">
        <v>68</v>
      </c>
      <c r="C7" s="292" t="s">
        <v>93</v>
      </c>
      <c r="D7" s="293"/>
      <c r="E7" s="293"/>
      <c r="F7" s="294"/>
      <c r="H7" s="268"/>
    </row>
    <row r="8" spans="2:8" x14ac:dyDescent="0.25">
      <c r="B8" s="17" t="s">
        <v>69</v>
      </c>
      <c r="C8" s="176"/>
      <c r="D8" s="18"/>
      <c r="E8" s="18"/>
      <c r="F8" s="18"/>
      <c r="H8" s="268"/>
    </row>
    <row r="9" spans="2:8" x14ac:dyDescent="0.25">
      <c r="H9" s="268"/>
    </row>
    <row r="10" spans="2:8" ht="15" customHeight="1" x14ac:dyDescent="0.25">
      <c r="B10" s="1" t="s">
        <v>95</v>
      </c>
      <c r="C10" s="34"/>
      <c r="D10" s="34"/>
      <c r="E10" s="34"/>
      <c r="F10" s="34"/>
      <c r="H10" s="268"/>
    </row>
    <row r="11" spans="2:8" x14ac:dyDescent="0.25">
      <c r="B11" s="283" t="s">
        <v>90</v>
      </c>
      <c r="C11" s="284"/>
      <c r="D11" s="284"/>
      <c r="E11" s="284"/>
      <c r="F11" s="285"/>
      <c r="H11" s="268"/>
    </row>
    <row r="12" spans="2:8" x14ac:dyDescent="0.25">
      <c r="B12" s="286"/>
      <c r="C12" s="287"/>
      <c r="D12" s="287"/>
      <c r="E12" s="287"/>
      <c r="F12" s="288"/>
      <c r="H12" s="268"/>
    </row>
    <row r="13" spans="2:8" x14ac:dyDescent="0.25">
      <c r="B13" s="286"/>
      <c r="C13" s="287"/>
      <c r="D13" s="287"/>
      <c r="E13" s="287"/>
      <c r="F13" s="288"/>
      <c r="H13" s="268"/>
    </row>
    <row r="14" spans="2:8" x14ac:dyDescent="0.25">
      <c r="B14" s="289"/>
      <c r="C14" s="290"/>
      <c r="D14" s="290"/>
      <c r="E14" s="290"/>
      <c r="F14" s="291"/>
      <c r="H14" s="269"/>
    </row>
    <row r="15" spans="2:8" ht="15.75" thickBot="1" x14ac:dyDescent="0.3">
      <c r="H15" s="183"/>
    </row>
    <row r="16" spans="2:8" x14ac:dyDescent="0.25">
      <c r="B16" s="280" t="s">
        <v>71</v>
      </c>
      <c r="C16" s="281"/>
      <c r="D16" s="281"/>
      <c r="E16" s="281"/>
      <c r="F16" s="282"/>
      <c r="H16" s="267" t="s">
        <v>231</v>
      </c>
    </row>
    <row r="17" spans="2:9" x14ac:dyDescent="0.25">
      <c r="B17" s="36" t="s">
        <v>94</v>
      </c>
      <c r="C17" s="37" t="s">
        <v>63</v>
      </c>
      <c r="D17" s="37" t="s">
        <v>66</v>
      </c>
      <c r="E17" s="37" t="s">
        <v>70</v>
      </c>
      <c r="F17" s="38" t="s">
        <v>64</v>
      </c>
      <c r="H17" s="268"/>
    </row>
    <row r="18" spans="2:9" x14ac:dyDescent="0.25">
      <c r="B18" s="22" t="s">
        <v>78</v>
      </c>
      <c r="C18" s="177"/>
      <c r="D18" s="178"/>
      <c r="E18" s="40">
        <f>ConfigYield_AreaTimeTable[Weeks/Turn]*TurnsPerYear</f>
        <v>0</v>
      </c>
      <c r="F18" s="42">
        <f>ConfigYield_AreaTimeTable[Area (Sq. Ft.)]*ConfigYield_AreaTimeTable[Total Weeks]</f>
        <v>0</v>
      </c>
      <c r="H18" s="268"/>
      <c r="I18" s="2"/>
    </row>
    <row r="19" spans="2:9" x14ac:dyDescent="0.25">
      <c r="B19" s="22" t="s">
        <v>79</v>
      </c>
      <c r="C19" s="175"/>
      <c r="D19" s="178"/>
      <c r="E19" s="40">
        <f>ConfigYield_AreaTimeTable[Weeks/Turn]*TurnsPerYear</f>
        <v>0</v>
      </c>
      <c r="F19" s="42">
        <f>ConfigYield_AreaTimeTable[Area (Sq. Ft.)]*ConfigYield_AreaTimeTable[Total Weeks]</f>
        <v>0</v>
      </c>
      <c r="H19" s="268"/>
    </row>
    <row r="20" spans="2:9" x14ac:dyDescent="0.25">
      <c r="B20" s="22" t="s">
        <v>80</v>
      </c>
      <c r="C20" s="175"/>
      <c r="D20" s="178"/>
      <c r="E20" s="40">
        <f>ConfigYield_AreaTimeTable[Weeks/Turn]*TurnsPerYear</f>
        <v>0</v>
      </c>
      <c r="F20" s="42">
        <f>ConfigYield_AreaTimeTable[Area (Sq. Ft.)]*ConfigYield_AreaTimeTable[Total Weeks]</f>
        <v>0</v>
      </c>
      <c r="H20" s="268"/>
    </row>
    <row r="21" spans="2:9" x14ac:dyDescent="0.25">
      <c r="B21" s="30" t="s">
        <v>217</v>
      </c>
      <c r="C21" s="179"/>
      <c r="D21" s="180"/>
      <c r="E21" s="41">
        <f>ConfigYield_AreaTimeTable[Weeks/Turn]*TurnsPerYear</f>
        <v>0</v>
      </c>
      <c r="F21" s="43">
        <f>ConfigYield_AreaTimeTable[Area (Sq. Ft.)]*ConfigYield_AreaTimeTable[Total Weeks]</f>
        <v>0</v>
      </c>
      <c r="H21" s="268"/>
    </row>
    <row r="22" spans="2:9" x14ac:dyDescent="0.25">
      <c r="B22" s="27" t="s">
        <v>22</v>
      </c>
      <c r="C22" s="39"/>
      <c r="D22" s="39"/>
      <c r="E22" s="41">
        <f>SUBTOTAL(109,ConfigYield_AreaTimeTable[Total Weeks])</f>
        <v>0</v>
      </c>
      <c r="F22" s="43">
        <f>SUBTOTAL(109,ConfigYield_AreaTimeTable[SqFt-Weeks])</f>
        <v>0</v>
      </c>
      <c r="H22" s="269"/>
    </row>
    <row r="23" spans="2:9" ht="15.75" thickBot="1" x14ac:dyDescent="0.3">
      <c r="H23" s="183"/>
    </row>
    <row r="24" spans="2:9" ht="15" customHeight="1" x14ac:dyDescent="0.25">
      <c r="B24" s="280" t="s">
        <v>97</v>
      </c>
      <c r="C24" s="281"/>
      <c r="D24" s="282"/>
      <c r="E24" s="44"/>
      <c r="G24" s="156"/>
      <c r="H24" s="277" t="s">
        <v>237</v>
      </c>
    </row>
    <row r="25" spans="2:9" x14ac:dyDescent="0.25">
      <c r="B25" s="16" t="s">
        <v>96</v>
      </c>
      <c r="C25" s="6" t="s">
        <v>83</v>
      </c>
      <c r="D25" s="16" t="s">
        <v>2</v>
      </c>
      <c r="F25" s="156"/>
      <c r="G25" s="156"/>
      <c r="H25" s="278"/>
    </row>
    <row r="26" spans="2:9" x14ac:dyDescent="0.25">
      <c r="B26" s="5" t="s">
        <v>84</v>
      </c>
      <c r="C26" s="181"/>
      <c r="D26" s="176"/>
      <c r="F26" s="156"/>
      <c r="G26" s="156"/>
      <c r="H26" s="278"/>
    </row>
    <row r="27" spans="2:9" x14ac:dyDescent="0.25">
      <c r="B27" s="5" t="s">
        <v>81</v>
      </c>
      <c r="C27" s="178"/>
      <c r="D27" s="176"/>
      <c r="F27" s="156"/>
      <c r="G27" s="156"/>
      <c r="H27" s="278"/>
    </row>
    <row r="28" spans="2:9" x14ac:dyDescent="0.25">
      <c r="B28" s="5" t="s">
        <v>88</v>
      </c>
      <c r="C28" s="178"/>
      <c r="D28" s="176"/>
      <c r="F28" s="156"/>
      <c r="G28" s="156"/>
      <c r="H28" s="278"/>
    </row>
    <row r="29" spans="2:9" x14ac:dyDescent="0.25">
      <c r="B29" s="5" t="s">
        <v>82</v>
      </c>
      <c r="C29" s="181"/>
      <c r="D29" s="176"/>
      <c r="F29" s="156"/>
      <c r="G29" s="156"/>
      <c r="H29" s="278"/>
    </row>
    <row r="30" spans="2:9" x14ac:dyDescent="0.25">
      <c r="B30" s="5" t="s">
        <v>76</v>
      </c>
      <c r="C30" s="46">
        <f>IF(ISBLANK(HarvestUnitPerMarketUnit),0,(HarvestPerPlant/HarvestUnitPerMarketUnit)*PackoutPercentage)</f>
        <v>0</v>
      </c>
      <c r="D30" s="176"/>
      <c r="F30" s="156"/>
      <c r="G30" s="156"/>
      <c r="H30" s="278"/>
    </row>
    <row r="31" spans="2:9" x14ac:dyDescent="0.25">
      <c r="B31" s="5" t="s">
        <v>89</v>
      </c>
      <c r="C31" s="182"/>
      <c r="D31" s="176"/>
      <c r="F31" s="156"/>
      <c r="G31" s="156"/>
      <c r="H31" s="279"/>
    </row>
    <row r="32" spans="2:9" ht="15.75" thickBot="1" x14ac:dyDescent="0.3">
      <c r="H32" s="183"/>
    </row>
    <row r="33" spans="2:8" x14ac:dyDescent="0.25">
      <c r="B33" s="280" t="s">
        <v>98</v>
      </c>
      <c r="C33" s="281"/>
      <c r="D33" s="282"/>
      <c r="F33" s="157"/>
      <c r="G33" s="157"/>
      <c r="H33" s="267" t="s">
        <v>232</v>
      </c>
    </row>
    <row r="34" spans="2:8" x14ac:dyDescent="0.25">
      <c r="B34" s="5"/>
      <c r="C34" s="35" t="s">
        <v>74</v>
      </c>
      <c r="D34" s="35" t="s">
        <v>75</v>
      </c>
      <c r="F34" s="157"/>
      <c r="G34" s="157"/>
      <c r="H34" s="268"/>
    </row>
    <row r="35" spans="2:8" x14ac:dyDescent="0.25">
      <c r="B35" s="5" t="s">
        <v>72</v>
      </c>
      <c r="C35" s="175"/>
      <c r="D35" s="45">
        <f>PlantStartsPerTurn*TurnsPerYear</f>
        <v>0</v>
      </c>
      <c r="F35" s="157"/>
      <c r="G35" s="157"/>
      <c r="H35" s="268"/>
    </row>
    <row r="36" spans="2:8" x14ac:dyDescent="0.25">
      <c r="B36" s="5" t="s">
        <v>73</v>
      </c>
      <c r="C36" s="45">
        <f>PlantStartsPerTurn/(1-SeedLossRate)</f>
        <v>0</v>
      </c>
      <c r="D36" s="45">
        <f>SeedStartsPerTurn*TurnsPerYear</f>
        <v>0</v>
      </c>
      <c r="F36" s="157"/>
      <c r="G36" s="157"/>
      <c r="H36" s="268"/>
    </row>
    <row r="37" spans="2:8" x14ac:dyDescent="0.25">
      <c r="B37" s="5" t="s">
        <v>85</v>
      </c>
      <c r="C37" s="45">
        <f>HarvestPerPlant*PlantStartsPerTurn</f>
        <v>0</v>
      </c>
      <c r="D37" s="45">
        <f>HarvestQuantityPerTurn*TurnsPerYear</f>
        <v>0</v>
      </c>
      <c r="F37" s="157"/>
      <c r="G37" s="157"/>
      <c r="H37" s="268"/>
    </row>
    <row r="38" spans="2:8" x14ac:dyDescent="0.25">
      <c r="B38" s="5" t="s">
        <v>86</v>
      </c>
      <c r="C38" s="45">
        <f>ROUND(MarketYieldPerPlant*PlantStartsPerTurn,0)</f>
        <v>0</v>
      </c>
      <c r="D38" s="45">
        <f>MarketQuantityPerTurn*TurnsPerYear</f>
        <v>0</v>
      </c>
      <c r="F38" s="157"/>
      <c r="G38" s="157"/>
      <c r="H38" s="268"/>
    </row>
    <row r="39" spans="2:8" x14ac:dyDescent="0.25">
      <c r="B39" s="5" t="s">
        <v>87</v>
      </c>
      <c r="C39" s="9">
        <f>AveragePrice*MarketQuantityPerTurn</f>
        <v>0</v>
      </c>
      <c r="D39" s="9">
        <f>SalesRevenuePerTurn*TurnsPerYear</f>
        <v>0</v>
      </c>
      <c r="F39" s="157"/>
      <c r="G39" s="157"/>
      <c r="H39" s="269"/>
    </row>
  </sheetData>
  <sheetProtection algorithmName="SHA-512" hashValue="9qk+pGs1IY2mhl8IU5hZW1Oc80LyqbCV9MgXRzGtcD1NsUb5O1AQaWcYQD0dnoRGakGytHeTmm488A2Mwr/IFg==" saltValue="WcYkzMMfVzAHcIzlVv+W9A==" spinCount="100000" sheet="1" objects="1" scenarios="1"/>
  <mergeCells count="13">
    <mergeCell ref="H4:H14"/>
    <mergeCell ref="H16:H22"/>
    <mergeCell ref="H24:H31"/>
    <mergeCell ref="H33:H39"/>
    <mergeCell ref="B2:F2"/>
    <mergeCell ref="B16:F16"/>
    <mergeCell ref="B11:F14"/>
    <mergeCell ref="B24:D24"/>
    <mergeCell ref="B33:D33"/>
    <mergeCell ref="C4:F4"/>
    <mergeCell ref="C5:F5"/>
    <mergeCell ref="C6:F6"/>
    <mergeCell ref="C7:F7"/>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F21AE-6602-453B-924A-536E2E98B44A}">
  <dimension ref="B2:H61"/>
  <sheetViews>
    <sheetView showGridLines="0" workbookViewId="0"/>
  </sheetViews>
  <sheetFormatPr defaultRowHeight="15" x14ac:dyDescent="0.25"/>
  <cols>
    <col min="1" max="1" width="4.7109375" customWidth="1"/>
    <col min="2" max="2" width="49.7109375" customWidth="1"/>
    <col min="3" max="3" width="10.5703125" customWidth="1"/>
    <col min="4" max="4" width="12.85546875" customWidth="1"/>
    <col min="5" max="5" width="14.28515625" customWidth="1"/>
    <col min="6" max="6" width="13.7109375" customWidth="1"/>
    <col min="7" max="7" width="4.7109375" customWidth="1"/>
    <col min="8" max="8" width="70.7109375" customWidth="1"/>
  </cols>
  <sheetData>
    <row r="2" spans="2:8" x14ac:dyDescent="0.25">
      <c r="B2" s="260" t="s">
        <v>57</v>
      </c>
      <c r="C2" s="260"/>
      <c r="D2" s="260"/>
      <c r="E2" s="260"/>
      <c r="F2" s="260"/>
    </row>
    <row r="3" spans="2:8" ht="15.75" thickBot="1" x14ac:dyDescent="0.3">
      <c r="B3" s="261"/>
      <c r="C3" s="261"/>
      <c r="D3" s="261"/>
      <c r="E3" s="261"/>
      <c r="F3" s="261"/>
      <c r="H3" s="139" t="s">
        <v>61</v>
      </c>
    </row>
    <row r="4" spans="2:8" ht="15" customHeight="1" x14ac:dyDescent="0.25">
      <c r="B4" s="280" t="s">
        <v>118</v>
      </c>
      <c r="C4" s="281"/>
      <c r="D4" s="281"/>
      <c r="E4" s="281"/>
      <c r="F4" s="282"/>
      <c r="H4" s="267" t="s">
        <v>259</v>
      </c>
    </row>
    <row r="5" spans="2:8" x14ac:dyDescent="0.25">
      <c r="B5" s="32" t="s">
        <v>8</v>
      </c>
      <c r="C5" s="32" t="s">
        <v>2</v>
      </c>
      <c r="D5" s="47" t="s">
        <v>62</v>
      </c>
      <c r="E5" s="47" t="s">
        <v>3</v>
      </c>
      <c r="F5" s="47" t="s">
        <v>54</v>
      </c>
      <c r="H5" s="268"/>
    </row>
    <row r="6" spans="2:8" x14ac:dyDescent="0.25">
      <c r="B6" s="186"/>
      <c r="C6" s="187"/>
      <c r="D6" s="182"/>
      <c r="E6" s="176"/>
      <c r="F6" s="9">
        <f>MaterialsDetail_TransplantTable[Cost/Unit]*MaterialsDetail_TransplantTable[Quantity]</f>
        <v>0</v>
      </c>
      <c r="H6" s="268"/>
    </row>
    <row r="7" spans="2:8" x14ac:dyDescent="0.25">
      <c r="B7" s="186"/>
      <c r="C7" s="188"/>
      <c r="D7" s="182"/>
      <c r="E7" s="176"/>
      <c r="F7" s="9">
        <f>MaterialsDetail_TransplantTable[Cost/Unit]*MaterialsDetail_TransplantTable[Quantity]</f>
        <v>0</v>
      </c>
      <c r="H7" s="268"/>
    </row>
    <row r="8" spans="2:8" x14ac:dyDescent="0.25">
      <c r="B8" s="186"/>
      <c r="C8" s="188"/>
      <c r="D8" s="182"/>
      <c r="E8" s="176"/>
      <c r="F8" s="9">
        <f>MaterialsDetail_TransplantTable[Cost/Unit]*MaterialsDetail_TransplantTable[Quantity]</f>
        <v>0</v>
      </c>
      <c r="H8" s="268"/>
    </row>
    <row r="9" spans="2:8" x14ac:dyDescent="0.25">
      <c r="B9" s="186"/>
      <c r="C9" s="188"/>
      <c r="D9" s="182"/>
      <c r="E9" s="176"/>
      <c r="F9" s="9">
        <f>MaterialsDetail_TransplantTable[Cost/Unit]*MaterialsDetail_TransplantTable[Quantity]</f>
        <v>0</v>
      </c>
      <c r="H9" s="268"/>
    </row>
    <row r="10" spans="2:8" x14ac:dyDescent="0.25">
      <c r="B10" s="186"/>
      <c r="C10" s="188"/>
      <c r="D10" s="182"/>
      <c r="E10" s="176"/>
      <c r="F10" s="9">
        <f>MaterialsDetail_TransplantTable[Cost/Unit]*MaterialsDetail_TransplantTable[Quantity]</f>
        <v>0</v>
      </c>
      <c r="H10" s="268"/>
    </row>
    <row r="11" spans="2:8" x14ac:dyDescent="0.25">
      <c r="B11" s="33" t="s">
        <v>22</v>
      </c>
      <c r="C11" s="137"/>
      <c r="D11" s="137"/>
      <c r="E11" s="137"/>
      <c r="F11" s="9">
        <f>SUBTOTAL(109,MaterialsDetail_TransplantTable[Annual Cost])</f>
        <v>0</v>
      </c>
      <c r="H11" s="269"/>
    </row>
    <row r="12" spans="2:8" ht="15.75" customHeight="1" thickBot="1" x14ac:dyDescent="0.3">
      <c r="B12" s="262"/>
      <c r="C12" s="262"/>
      <c r="D12" s="262"/>
      <c r="E12" s="262"/>
      <c r="F12" s="262"/>
      <c r="H12" s="183"/>
    </row>
    <row r="13" spans="2:8" x14ac:dyDescent="0.25">
      <c r="B13" s="280" t="s">
        <v>59</v>
      </c>
      <c r="C13" s="281"/>
      <c r="D13" s="281"/>
      <c r="E13" s="281"/>
      <c r="F13" s="282"/>
      <c r="H13" s="295" t="s">
        <v>233</v>
      </c>
    </row>
    <row r="14" spans="2:8" x14ac:dyDescent="0.25">
      <c r="B14" s="32" t="s">
        <v>8</v>
      </c>
      <c r="C14" s="32" t="s">
        <v>2</v>
      </c>
      <c r="D14" s="47" t="s">
        <v>62</v>
      </c>
      <c r="E14" s="47" t="s">
        <v>3</v>
      </c>
      <c r="F14" s="47" t="s">
        <v>54</v>
      </c>
      <c r="H14" s="296"/>
    </row>
    <row r="15" spans="2:8" x14ac:dyDescent="0.25">
      <c r="B15" s="188"/>
      <c r="C15" s="188"/>
      <c r="D15" s="182"/>
      <c r="E15" s="176"/>
      <c r="F15" s="9">
        <f>MaterialsDetail_MediaTable[Cost/Unit]*MaterialsDetail_MediaTable[Quantity]</f>
        <v>0</v>
      </c>
      <c r="H15" s="296"/>
    </row>
    <row r="16" spans="2:8" x14ac:dyDescent="0.25">
      <c r="B16" s="188"/>
      <c r="C16" s="188"/>
      <c r="D16" s="182"/>
      <c r="E16" s="176"/>
      <c r="F16" s="9">
        <f>MaterialsDetail_MediaTable[Cost/Unit]*MaterialsDetail_MediaTable[Quantity]</f>
        <v>0</v>
      </c>
      <c r="H16" s="296"/>
    </row>
    <row r="17" spans="2:8" x14ac:dyDescent="0.25">
      <c r="B17" s="188"/>
      <c r="C17" s="188"/>
      <c r="D17" s="182"/>
      <c r="E17" s="176"/>
      <c r="F17" s="9">
        <f>MaterialsDetail_MediaTable[Cost/Unit]*MaterialsDetail_MediaTable[Quantity]</f>
        <v>0</v>
      </c>
      <c r="H17" s="296"/>
    </row>
    <row r="18" spans="2:8" x14ac:dyDescent="0.25">
      <c r="B18" s="188"/>
      <c r="C18" s="188"/>
      <c r="D18" s="182"/>
      <c r="E18" s="176"/>
      <c r="F18" s="9">
        <f>MaterialsDetail_MediaTable[Cost/Unit]*MaterialsDetail_MediaTable[Quantity]</f>
        <v>0</v>
      </c>
      <c r="H18" s="296"/>
    </row>
    <row r="19" spans="2:8" ht="15" customHeight="1" x14ac:dyDescent="0.25">
      <c r="B19" s="11" t="s">
        <v>22</v>
      </c>
      <c r="C19" s="12"/>
      <c r="D19" s="12"/>
      <c r="E19" s="10"/>
      <c r="F19" s="9">
        <f>SUBTOTAL(109,MaterialsDetail_MediaTable[Annual Cost])</f>
        <v>0</v>
      </c>
      <c r="H19" s="297"/>
    </row>
    <row r="20" spans="2:8" ht="15.75" thickBot="1" x14ac:dyDescent="0.3">
      <c r="B20" s="262"/>
      <c r="C20" s="262"/>
      <c r="D20" s="262"/>
      <c r="E20" s="262"/>
      <c r="F20" s="262"/>
      <c r="H20" s="190"/>
    </row>
    <row r="21" spans="2:8" x14ac:dyDescent="0.25">
      <c r="B21" s="280" t="s">
        <v>58</v>
      </c>
      <c r="C21" s="281"/>
      <c r="D21" s="281"/>
      <c r="E21" s="281"/>
      <c r="F21" s="282"/>
      <c r="H21" s="267" t="s">
        <v>234</v>
      </c>
    </row>
    <row r="22" spans="2:8" x14ac:dyDescent="0.25">
      <c r="B22" s="32" t="s">
        <v>8</v>
      </c>
      <c r="C22" s="32" t="s">
        <v>2</v>
      </c>
      <c r="D22" s="47" t="s">
        <v>62</v>
      </c>
      <c r="E22" s="47" t="s">
        <v>3</v>
      </c>
      <c r="F22" s="47" t="s">
        <v>54</v>
      </c>
      <c r="H22" s="268"/>
    </row>
    <row r="23" spans="2:8" x14ac:dyDescent="0.25">
      <c r="B23" s="188"/>
      <c r="C23" s="188"/>
      <c r="D23" s="182"/>
      <c r="E23" s="176"/>
      <c r="F23" s="9">
        <f>MaterialsDetail_FertilizerTable[Cost/Unit]*MaterialsDetail_FertilizerTable[Quantity]</f>
        <v>0</v>
      </c>
      <c r="H23" s="268"/>
    </row>
    <row r="24" spans="2:8" x14ac:dyDescent="0.25">
      <c r="B24" s="186"/>
      <c r="C24" s="188"/>
      <c r="D24" s="182"/>
      <c r="E24" s="176"/>
      <c r="F24" s="9">
        <f>MaterialsDetail_FertilizerTable[Cost/Unit]*MaterialsDetail_FertilizerTable[Quantity]</f>
        <v>0</v>
      </c>
      <c r="H24" s="268"/>
    </row>
    <row r="25" spans="2:8" x14ac:dyDescent="0.25">
      <c r="B25" s="188"/>
      <c r="C25" s="188"/>
      <c r="D25" s="182"/>
      <c r="E25" s="176"/>
      <c r="F25" s="9">
        <f>MaterialsDetail_FertilizerTable[Cost/Unit]*MaterialsDetail_FertilizerTable[Quantity]</f>
        <v>0</v>
      </c>
      <c r="H25" s="268"/>
    </row>
    <row r="26" spans="2:8" x14ac:dyDescent="0.25">
      <c r="B26" s="188"/>
      <c r="C26" s="188"/>
      <c r="D26" s="182"/>
      <c r="E26" s="176"/>
      <c r="F26" s="9">
        <f>MaterialsDetail_FertilizerTable[Cost/Unit]*MaterialsDetail_FertilizerTable[Quantity]</f>
        <v>0</v>
      </c>
      <c r="H26" s="268"/>
    </row>
    <row r="27" spans="2:8" x14ac:dyDescent="0.25">
      <c r="B27" s="188"/>
      <c r="C27" s="188"/>
      <c r="D27" s="182"/>
      <c r="E27" s="176"/>
      <c r="F27" s="9">
        <f>MaterialsDetail_FertilizerTable[Cost/Unit]*MaterialsDetail_FertilizerTable[Quantity]</f>
        <v>0</v>
      </c>
      <c r="H27" s="268"/>
    </row>
    <row r="28" spans="2:8" x14ac:dyDescent="0.25">
      <c r="B28" s="188"/>
      <c r="C28" s="188"/>
      <c r="D28" s="182"/>
      <c r="E28" s="176"/>
      <c r="F28" s="9">
        <f>MaterialsDetail_FertilizerTable[Cost/Unit]*MaterialsDetail_FertilizerTable[Quantity]</f>
        <v>0</v>
      </c>
      <c r="H28" s="268"/>
    </row>
    <row r="29" spans="2:8" x14ac:dyDescent="0.25">
      <c r="B29" s="188"/>
      <c r="C29" s="188"/>
      <c r="D29" s="182"/>
      <c r="E29" s="176"/>
      <c r="F29" s="9">
        <f>MaterialsDetail_FertilizerTable[Cost/Unit]*MaterialsDetail_FertilizerTable[Quantity]</f>
        <v>0</v>
      </c>
      <c r="H29" s="268"/>
    </row>
    <row r="30" spans="2:8" x14ac:dyDescent="0.25">
      <c r="B30" s="188"/>
      <c r="C30" s="188"/>
      <c r="D30" s="182"/>
      <c r="E30" s="176"/>
      <c r="F30" s="9">
        <f>MaterialsDetail_FertilizerTable[Cost/Unit]*MaterialsDetail_FertilizerTable[Quantity]</f>
        <v>0</v>
      </c>
      <c r="H30" s="268"/>
    </row>
    <row r="31" spans="2:8" x14ac:dyDescent="0.25">
      <c r="B31" s="188"/>
      <c r="C31" s="188"/>
      <c r="D31" s="182"/>
      <c r="E31" s="176"/>
      <c r="F31" s="9">
        <f>MaterialsDetail_FertilizerTable[Cost/Unit]*MaterialsDetail_FertilizerTable[Quantity]</f>
        <v>0</v>
      </c>
      <c r="H31" s="268"/>
    </row>
    <row r="32" spans="2:8" ht="15" customHeight="1" x14ac:dyDescent="0.25">
      <c r="B32" s="188"/>
      <c r="C32" s="188"/>
      <c r="D32" s="182"/>
      <c r="E32" s="189"/>
      <c r="F32" s="132">
        <f>MaterialsDetail_FertilizerTable[Cost/Unit]*MaterialsDetail_FertilizerTable[Quantity]</f>
        <v>0</v>
      </c>
      <c r="H32" s="268"/>
    </row>
    <row r="33" spans="2:8" x14ac:dyDescent="0.25">
      <c r="B33" s="11" t="s">
        <v>22</v>
      </c>
      <c r="C33" s="12"/>
      <c r="D33" s="12"/>
      <c r="E33" s="10"/>
      <c r="F33" s="9">
        <f>SUBTOTAL(109,MaterialsDetail_FertilizerTable[Annual Cost])</f>
        <v>0</v>
      </c>
      <c r="H33" s="269"/>
    </row>
    <row r="34" spans="2:8" ht="15.75" thickBot="1" x14ac:dyDescent="0.3">
      <c r="B34" s="262"/>
      <c r="C34" s="262"/>
      <c r="D34" s="262"/>
      <c r="E34" s="262"/>
      <c r="F34" s="262"/>
      <c r="H34" s="190"/>
    </row>
    <row r="35" spans="2:8" x14ac:dyDescent="0.25">
      <c r="B35" s="280" t="s">
        <v>60</v>
      </c>
      <c r="C35" s="281"/>
      <c r="D35" s="281"/>
      <c r="E35" s="281"/>
      <c r="F35" s="282"/>
      <c r="H35" s="267" t="s">
        <v>235</v>
      </c>
    </row>
    <row r="36" spans="2:8" x14ac:dyDescent="0.25">
      <c r="B36" s="32" t="s">
        <v>8</v>
      </c>
      <c r="C36" s="32" t="s">
        <v>2</v>
      </c>
      <c r="D36" s="47" t="s">
        <v>62</v>
      </c>
      <c r="E36" s="47" t="s">
        <v>3</v>
      </c>
      <c r="F36" s="47" t="s">
        <v>54</v>
      </c>
      <c r="H36" s="268"/>
    </row>
    <row r="37" spans="2:8" x14ac:dyDescent="0.25">
      <c r="B37" s="188"/>
      <c r="C37" s="188"/>
      <c r="D37" s="182"/>
      <c r="E37" s="176"/>
      <c r="F37" s="9">
        <f>MaterialsDetail_PestMgtTable[Cost/Unit]*MaterialsDetail_PestMgtTable[Quantity]</f>
        <v>0</v>
      </c>
      <c r="H37" s="268"/>
    </row>
    <row r="38" spans="2:8" x14ac:dyDescent="0.25">
      <c r="B38" s="188"/>
      <c r="C38" s="188"/>
      <c r="D38" s="182"/>
      <c r="E38" s="176"/>
      <c r="F38" s="9">
        <f>MaterialsDetail_PestMgtTable[Cost/Unit]*MaterialsDetail_PestMgtTable[Quantity]</f>
        <v>0</v>
      </c>
      <c r="H38" s="268"/>
    </row>
    <row r="39" spans="2:8" x14ac:dyDescent="0.25">
      <c r="B39" s="188"/>
      <c r="C39" s="188"/>
      <c r="D39" s="182"/>
      <c r="E39" s="176"/>
      <c r="F39" s="9">
        <f>MaterialsDetail_PestMgtTable[Cost/Unit]*MaterialsDetail_PestMgtTable[Quantity]</f>
        <v>0</v>
      </c>
      <c r="H39" s="268"/>
    </row>
    <row r="40" spans="2:8" x14ac:dyDescent="0.25">
      <c r="B40" s="188"/>
      <c r="C40" s="188"/>
      <c r="D40" s="182"/>
      <c r="E40" s="176"/>
      <c r="F40" s="9">
        <f>MaterialsDetail_PestMgtTable[Cost/Unit]*MaterialsDetail_PestMgtTable[Quantity]</f>
        <v>0</v>
      </c>
      <c r="H40" s="268"/>
    </row>
    <row r="41" spans="2:8" x14ac:dyDescent="0.25">
      <c r="B41" s="188"/>
      <c r="C41" s="188"/>
      <c r="D41" s="182"/>
      <c r="E41" s="176"/>
      <c r="F41" s="9">
        <f>MaterialsDetail_PestMgtTable[Cost/Unit]*MaterialsDetail_PestMgtTable[Quantity]</f>
        <v>0</v>
      </c>
      <c r="H41" s="268"/>
    </row>
    <row r="42" spans="2:8" x14ac:dyDescent="0.25">
      <c r="B42" s="188"/>
      <c r="C42" s="188"/>
      <c r="D42" s="182"/>
      <c r="E42" s="176"/>
      <c r="F42" s="9">
        <f>MaterialsDetail_PestMgtTable[Cost/Unit]*MaterialsDetail_PestMgtTable[Quantity]</f>
        <v>0</v>
      </c>
      <c r="H42" s="268"/>
    </row>
    <row r="43" spans="2:8" ht="15" customHeight="1" x14ac:dyDescent="0.25">
      <c r="B43" s="188"/>
      <c r="C43" s="188"/>
      <c r="D43" s="182"/>
      <c r="E43" s="176"/>
      <c r="F43" s="9">
        <f>MaterialsDetail_PestMgtTable[Cost/Unit]*MaterialsDetail_PestMgtTable[Quantity]</f>
        <v>0</v>
      </c>
      <c r="H43" s="268"/>
    </row>
    <row r="44" spans="2:8" x14ac:dyDescent="0.25">
      <c r="B44" s="188"/>
      <c r="C44" s="188"/>
      <c r="D44" s="182"/>
      <c r="E44" s="176"/>
      <c r="F44" s="9">
        <f>MaterialsDetail_PestMgtTable[Cost/Unit]*MaterialsDetail_PestMgtTable[Quantity]</f>
        <v>0</v>
      </c>
      <c r="H44" s="268"/>
    </row>
    <row r="45" spans="2:8" x14ac:dyDescent="0.25">
      <c r="B45" s="11" t="s">
        <v>22</v>
      </c>
      <c r="C45" s="12"/>
      <c r="D45" s="12"/>
      <c r="E45" s="10"/>
      <c r="F45" s="9">
        <f>SUBTOTAL(109,MaterialsDetail_PestMgtTable[Annual Cost])</f>
        <v>0</v>
      </c>
      <c r="H45" s="269"/>
    </row>
    <row r="46" spans="2:8" ht="15.75" thickBot="1" x14ac:dyDescent="0.3">
      <c r="B46" s="262"/>
      <c r="C46" s="262"/>
      <c r="D46" s="262"/>
      <c r="E46" s="262"/>
      <c r="F46" s="262"/>
      <c r="H46" s="190"/>
    </row>
    <row r="47" spans="2:8" x14ac:dyDescent="0.25">
      <c r="B47" s="280" t="s">
        <v>111</v>
      </c>
      <c r="C47" s="281"/>
      <c r="D47" s="281"/>
      <c r="E47" s="281"/>
      <c r="F47" s="282"/>
      <c r="H47" s="267" t="s">
        <v>236</v>
      </c>
    </row>
    <row r="48" spans="2:8" x14ac:dyDescent="0.25">
      <c r="B48" s="32" t="s">
        <v>8</v>
      </c>
      <c r="C48" s="32" t="s">
        <v>2</v>
      </c>
      <c r="D48" s="47" t="s">
        <v>62</v>
      </c>
      <c r="E48" s="47" t="s">
        <v>3</v>
      </c>
      <c r="F48" s="47" t="s">
        <v>54</v>
      </c>
      <c r="H48" s="268"/>
    </row>
    <row r="49" spans="2:8" x14ac:dyDescent="0.25">
      <c r="B49" s="188"/>
      <c r="C49" s="188"/>
      <c r="D49" s="182"/>
      <c r="E49" s="176"/>
      <c r="F49" s="9">
        <f>MaterialsDetail_OtherTable[Cost/Unit]*MaterialsDetail_OtherTable[Quantity]</f>
        <v>0</v>
      </c>
      <c r="H49" s="268"/>
    </row>
    <row r="50" spans="2:8" ht="15" customHeight="1" x14ac:dyDescent="0.25">
      <c r="B50" s="188"/>
      <c r="C50" s="188"/>
      <c r="D50" s="182"/>
      <c r="E50" s="176"/>
      <c r="F50" s="9">
        <f>MaterialsDetail_OtherTable[Cost/Unit]*MaterialsDetail_OtherTable[Quantity]</f>
        <v>0</v>
      </c>
      <c r="H50" s="268"/>
    </row>
    <row r="51" spans="2:8" x14ac:dyDescent="0.25">
      <c r="B51" s="188"/>
      <c r="C51" s="188"/>
      <c r="D51" s="182"/>
      <c r="E51" s="176"/>
      <c r="F51" s="9">
        <f>MaterialsDetail_OtherTable[Cost/Unit]*MaterialsDetail_OtherTable[Quantity]</f>
        <v>0</v>
      </c>
      <c r="H51" s="268"/>
    </row>
    <row r="52" spans="2:8" x14ac:dyDescent="0.25">
      <c r="B52" s="188"/>
      <c r="C52" s="188"/>
      <c r="D52" s="182"/>
      <c r="E52" s="176"/>
      <c r="F52" s="9">
        <f>MaterialsDetail_OtherTable[Cost/Unit]*MaterialsDetail_OtherTable[Quantity]</f>
        <v>0</v>
      </c>
      <c r="H52" s="268"/>
    </row>
    <row r="53" spans="2:8" x14ac:dyDescent="0.25">
      <c r="B53" s="11" t="s">
        <v>22</v>
      </c>
      <c r="C53" s="12"/>
      <c r="D53" s="12"/>
      <c r="E53" s="10"/>
      <c r="F53" s="9">
        <f>SUBTOTAL(109,MaterialsDetail_OtherTable[Annual Cost])</f>
        <v>0</v>
      </c>
      <c r="H53" s="269"/>
    </row>
    <row r="54" spans="2:8" ht="15.75" thickBot="1" x14ac:dyDescent="0.3">
      <c r="B54" s="262"/>
      <c r="C54" s="262"/>
      <c r="D54" s="262"/>
      <c r="E54" s="262"/>
      <c r="F54" s="262"/>
      <c r="H54" s="190"/>
    </row>
    <row r="55" spans="2:8" x14ac:dyDescent="0.25">
      <c r="B55" s="280" t="s">
        <v>239</v>
      </c>
      <c r="C55" s="281"/>
      <c r="D55" s="281"/>
      <c r="E55" s="281"/>
      <c r="F55" s="282"/>
      <c r="H55" s="267" t="s">
        <v>258</v>
      </c>
    </row>
    <row r="56" spans="2:8" x14ac:dyDescent="0.25">
      <c r="B56" s="32" t="s">
        <v>8</v>
      </c>
      <c r="C56" s="32" t="s">
        <v>2</v>
      </c>
      <c r="D56" s="32" t="s">
        <v>62</v>
      </c>
      <c r="E56" s="32" t="s">
        <v>3</v>
      </c>
      <c r="F56" s="32" t="s">
        <v>54</v>
      </c>
      <c r="H56" s="268"/>
    </row>
    <row r="57" spans="2:8" x14ac:dyDescent="0.25">
      <c r="B57" s="188"/>
      <c r="C57" s="188"/>
      <c r="D57" s="182"/>
      <c r="E57" s="176"/>
      <c r="F57" s="9">
        <f>MaterialsDetail_Marketing[Cost/Unit]*MaterialsDetail_Marketing[Quantity]</f>
        <v>0</v>
      </c>
      <c r="H57" s="268"/>
    </row>
    <row r="58" spans="2:8" x14ac:dyDescent="0.25">
      <c r="B58" s="188"/>
      <c r="C58" s="188"/>
      <c r="D58" s="182"/>
      <c r="E58" s="176"/>
      <c r="F58" s="9">
        <f>MaterialsDetail_Marketing[Cost/Unit]*MaterialsDetail_Marketing[Quantity]</f>
        <v>0</v>
      </c>
      <c r="H58" s="268"/>
    </row>
    <row r="59" spans="2:8" x14ac:dyDescent="0.25">
      <c r="B59" s="188"/>
      <c r="C59" s="188"/>
      <c r="D59" s="182"/>
      <c r="E59" s="176"/>
      <c r="F59" s="9">
        <f>MaterialsDetail_Marketing[Cost/Unit]*MaterialsDetail_Marketing[Quantity]</f>
        <v>0</v>
      </c>
      <c r="H59" s="268"/>
    </row>
    <row r="60" spans="2:8" x14ac:dyDescent="0.25">
      <c r="B60" s="188"/>
      <c r="C60" s="188"/>
      <c r="D60" s="182"/>
      <c r="E60" s="176"/>
      <c r="F60" s="9">
        <f>MaterialsDetail_Marketing[Cost/Unit]*MaterialsDetail_Marketing[Quantity]</f>
        <v>0</v>
      </c>
      <c r="H60" s="268"/>
    </row>
    <row r="61" spans="2:8" x14ac:dyDescent="0.25">
      <c r="B61" s="11" t="s">
        <v>22</v>
      </c>
      <c r="C61" s="12"/>
      <c r="D61" s="12"/>
      <c r="E61" s="10"/>
      <c r="F61" s="9">
        <f>SUBTOTAL(109,MaterialsDetail_Marketing[Annual Cost])</f>
        <v>0</v>
      </c>
      <c r="H61" s="269"/>
    </row>
  </sheetData>
  <sheetProtection algorithmName="SHA-512" hashValue="Rfd1WiPscMDyqrvw6MqqGlDkxNezNlj1kT/GXYvmyYdqeSGGpeUalK2XrhhI+1QjufioPzUD1IVeLbr3d+gqJg==" saltValue="ngSb7Ik5i9L7KW6CTv0mhg==" spinCount="100000" sheet="1" objects="1" scenarios="1"/>
  <mergeCells count="19">
    <mergeCell ref="H4:H11"/>
    <mergeCell ref="H13:H19"/>
    <mergeCell ref="B2:F2"/>
    <mergeCell ref="B3:F3"/>
    <mergeCell ref="B12:F12"/>
    <mergeCell ref="B20:F20"/>
    <mergeCell ref="B34:F34"/>
    <mergeCell ref="B4:F4"/>
    <mergeCell ref="B13:F13"/>
    <mergeCell ref="B21:F21"/>
    <mergeCell ref="H21:H33"/>
    <mergeCell ref="H35:H45"/>
    <mergeCell ref="H47:H53"/>
    <mergeCell ref="H55:H61"/>
    <mergeCell ref="B55:F55"/>
    <mergeCell ref="B46:F46"/>
    <mergeCell ref="B54:F54"/>
    <mergeCell ref="B35:F35"/>
    <mergeCell ref="B47:F47"/>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6A2A3-5152-408A-9337-A5F7522F2E3D}">
  <dimension ref="B2:K36"/>
  <sheetViews>
    <sheetView showGridLines="0" workbookViewId="0"/>
  </sheetViews>
  <sheetFormatPr defaultRowHeight="15" x14ac:dyDescent="0.25"/>
  <cols>
    <col min="1" max="1" width="4.7109375" customWidth="1"/>
    <col min="2" max="2" width="26.7109375" customWidth="1"/>
    <col min="3" max="3" width="13.42578125" customWidth="1"/>
    <col min="4" max="8" width="13.7109375" customWidth="1"/>
    <col min="9" max="9" width="4.7109375" customWidth="1"/>
    <col min="10" max="10" width="70.7109375" customWidth="1"/>
  </cols>
  <sheetData>
    <row r="2" spans="2:11" x14ac:dyDescent="0.25">
      <c r="B2" s="260" t="s">
        <v>44</v>
      </c>
      <c r="C2" s="260"/>
      <c r="D2" s="260"/>
      <c r="E2" s="260"/>
      <c r="F2" s="260"/>
      <c r="G2" s="260"/>
    </row>
    <row r="3" spans="2:11" ht="15.75" thickBot="1" x14ac:dyDescent="0.3">
      <c r="J3" s="134" t="s">
        <v>61</v>
      </c>
    </row>
    <row r="4" spans="2:11" x14ac:dyDescent="0.25">
      <c r="B4" s="280" t="s">
        <v>45</v>
      </c>
      <c r="C4" s="281"/>
      <c r="D4" s="281"/>
      <c r="E4" s="281"/>
      <c r="F4" s="282"/>
      <c r="J4" s="267" t="s">
        <v>238</v>
      </c>
    </row>
    <row r="5" spans="2:11" ht="30" x14ac:dyDescent="0.25">
      <c r="B5" s="28" t="s">
        <v>46</v>
      </c>
      <c r="C5" s="20" t="s">
        <v>2</v>
      </c>
      <c r="D5" s="8" t="s">
        <v>48</v>
      </c>
      <c r="E5" s="8" t="s">
        <v>47</v>
      </c>
      <c r="F5" s="105" t="s">
        <v>49</v>
      </c>
      <c r="J5" s="268"/>
    </row>
    <row r="6" spans="2:11" x14ac:dyDescent="0.25">
      <c r="B6" s="193"/>
      <c r="C6" s="23" t="s">
        <v>55</v>
      </c>
      <c r="D6" s="182"/>
      <c r="E6" s="197"/>
      <c r="F6" s="29">
        <f>LaborDetail_RateTable[Worker Wage]*(1+LaborDetail_RateTable[Payroll Overhead])</f>
        <v>0</v>
      </c>
      <c r="J6" s="268"/>
    </row>
    <row r="7" spans="2:11" x14ac:dyDescent="0.25">
      <c r="B7" s="193"/>
      <c r="C7" s="23" t="s">
        <v>55</v>
      </c>
      <c r="D7" s="182"/>
      <c r="E7" s="197"/>
      <c r="F7" s="29">
        <f>LaborDetail_RateTable[Worker Wage]*(1+LaborDetail_RateTable[Payroll Overhead])</f>
        <v>0</v>
      </c>
      <c r="J7" s="268"/>
    </row>
    <row r="8" spans="2:11" x14ac:dyDescent="0.25">
      <c r="B8" s="194"/>
      <c r="C8" s="24" t="s">
        <v>55</v>
      </c>
      <c r="D8" s="198"/>
      <c r="E8" s="199"/>
      <c r="F8" s="31">
        <f>LaborDetail_RateTable[Worker Wage]*(1+LaborDetail_RateTable[Payroll Overhead])</f>
        <v>0</v>
      </c>
      <c r="J8" s="269"/>
    </row>
    <row r="9" spans="2:11" ht="15.75" thickBot="1" x14ac:dyDescent="0.3">
      <c r="J9" s="173"/>
    </row>
    <row r="10" spans="2:11" ht="15" customHeight="1" x14ac:dyDescent="0.25">
      <c r="B10" s="253" t="s">
        <v>56</v>
      </c>
      <c r="C10" s="254"/>
      <c r="D10" s="254"/>
      <c r="E10" s="254"/>
      <c r="F10" s="254"/>
      <c r="G10" s="254"/>
      <c r="H10" s="255"/>
      <c r="J10" s="267" t="s">
        <v>247</v>
      </c>
    </row>
    <row r="11" spans="2:11" ht="30" x14ac:dyDescent="0.25">
      <c r="B11" s="32" t="s">
        <v>50</v>
      </c>
      <c r="C11" s="32" t="s">
        <v>46</v>
      </c>
      <c r="D11" s="4" t="s">
        <v>51</v>
      </c>
      <c r="E11" s="4" t="s">
        <v>52</v>
      </c>
      <c r="F11" s="4" t="s">
        <v>53</v>
      </c>
      <c r="G11" s="4" t="s">
        <v>225</v>
      </c>
      <c r="H11" s="4" t="s">
        <v>54</v>
      </c>
      <c r="J11" s="268"/>
    </row>
    <row r="12" spans="2:11" x14ac:dyDescent="0.25">
      <c r="B12" s="188"/>
      <c r="C12" s="185"/>
      <c r="D12" s="201"/>
      <c r="E12" s="9">
        <f>IF(ISBLANK(LaborDetail_ProductionCostTable[Hours/Week]),0,VLOOKUP(LaborDetail_ProductionCostTable[Labor Type],LaborDetail_RateTable[],5,FALSE)*LaborDetail_ProductionCostTable[Hours/Week])</f>
        <v>0</v>
      </c>
      <c r="F12" s="201"/>
      <c r="G12" s="45">
        <f>LaborDetail_ProductionCostTable[Hours/Week]*LaborDetail_ProductionCostTable[Number of Weeks]</f>
        <v>0</v>
      </c>
      <c r="H12" s="9">
        <f>LaborDetail_ProductionCostTable[Cost/Week]*LaborDetail_ProductionCostTable[Number of Weeks]</f>
        <v>0</v>
      </c>
      <c r="J12" s="268"/>
      <c r="K12" s="49"/>
    </row>
    <row r="13" spans="2:11" x14ac:dyDescent="0.25">
      <c r="B13" s="188"/>
      <c r="C13" s="185"/>
      <c r="D13" s="201"/>
      <c r="E13" s="9">
        <f>IF(ISBLANK(LaborDetail_ProductionCostTable[Hours/Week]),0,VLOOKUP(LaborDetail_ProductionCostTable[Labor Type],LaborDetail_RateTable[],5,FALSE)*LaborDetail_ProductionCostTable[Hours/Week])</f>
        <v>0</v>
      </c>
      <c r="F13" s="201"/>
      <c r="G13" s="45">
        <f>LaborDetail_ProductionCostTable[Hours/Week]*LaborDetail_ProductionCostTable[Number of Weeks]</f>
        <v>0</v>
      </c>
      <c r="H13" s="9">
        <f>LaborDetail_ProductionCostTable[Cost/Week]*LaborDetail_ProductionCostTable[Number of Weeks]</f>
        <v>0</v>
      </c>
      <c r="J13" s="268"/>
      <c r="K13" s="49"/>
    </row>
    <row r="14" spans="2:11" x14ac:dyDescent="0.25">
      <c r="B14" s="188"/>
      <c r="C14" s="185"/>
      <c r="D14" s="201"/>
      <c r="E14" s="9">
        <f>IF(ISBLANK(LaborDetail_ProductionCostTable[Hours/Week]),0,VLOOKUP(LaborDetail_ProductionCostTable[Labor Type],LaborDetail_RateTable[],5,FALSE)*LaborDetail_ProductionCostTable[Hours/Week])</f>
        <v>0</v>
      </c>
      <c r="F14" s="201"/>
      <c r="G14" s="45">
        <f>LaborDetail_ProductionCostTable[Hours/Week]*LaborDetail_ProductionCostTable[Number of Weeks]</f>
        <v>0</v>
      </c>
      <c r="H14" s="9">
        <f>LaborDetail_ProductionCostTable[Cost/Week]*LaborDetail_ProductionCostTable[Number of Weeks]</f>
        <v>0</v>
      </c>
      <c r="J14" s="268"/>
    </row>
    <row r="15" spans="2:11" x14ac:dyDescent="0.25">
      <c r="B15" s="188"/>
      <c r="C15" s="185"/>
      <c r="D15" s="201"/>
      <c r="E15" s="9">
        <f>IF(ISBLANK(LaborDetail_ProductionCostTable[Hours/Week]),0,VLOOKUP(LaborDetail_ProductionCostTable[Labor Type],LaborDetail_RateTable[],5,FALSE)*LaborDetail_ProductionCostTable[Hours/Week])</f>
        <v>0</v>
      </c>
      <c r="F15" s="201"/>
      <c r="G15" s="45">
        <f>LaborDetail_ProductionCostTable[Hours/Week]*LaborDetail_ProductionCostTable[Number of Weeks]</f>
        <v>0</v>
      </c>
      <c r="H15" s="9">
        <f>LaborDetail_ProductionCostTable[Cost/Week]*LaborDetail_ProductionCostTable[Number of Weeks]</f>
        <v>0</v>
      </c>
      <c r="J15" s="268"/>
    </row>
    <row r="16" spans="2:11" x14ac:dyDescent="0.25">
      <c r="B16" s="188"/>
      <c r="C16" s="185"/>
      <c r="D16" s="201"/>
      <c r="E16" s="9">
        <f>IF(ISBLANK(LaborDetail_ProductionCostTable[Hours/Week]),0,VLOOKUP(LaborDetail_ProductionCostTable[Labor Type],LaborDetail_RateTable[],5,FALSE)*LaborDetail_ProductionCostTable[Hours/Week])</f>
        <v>0</v>
      </c>
      <c r="F16" s="201"/>
      <c r="G16" s="45">
        <f>LaborDetail_ProductionCostTable[Hours/Week]*LaborDetail_ProductionCostTable[Number of Weeks]</f>
        <v>0</v>
      </c>
      <c r="H16" s="9">
        <f>LaborDetail_ProductionCostTable[Cost/Week]*LaborDetail_ProductionCostTable[Number of Weeks]</f>
        <v>0</v>
      </c>
      <c r="J16" s="268"/>
    </row>
    <row r="17" spans="2:10" x14ac:dyDescent="0.25">
      <c r="B17" s="188"/>
      <c r="C17" s="185"/>
      <c r="D17" s="201"/>
      <c r="E17" s="9">
        <f>IF(ISBLANK(LaborDetail_ProductionCostTable[Hours/Week]),0,VLOOKUP(LaborDetail_ProductionCostTable[Labor Type],LaborDetail_RateTable[],5,FALSE)*LaborDetail_ProductionCostTable[Hours/Week])</f>
        <v>0</v>
      </c>
      <c r="F17" s="201"/>
      <c r="G17" s="45">
        <f>LaborDetail_ProductionCostTable[Hours/Week]*LaborDetail_ProductionCostTable[Number of Weeks]</f>
        <v>0</v>
      </c>
      <c r="H17" s="9">
        <f>LaborDetail_ProductionCostTable[Cost/Week]*LaborDetail_ProductionCostTable[Number of Weeks]</f>
        <v>0</v>
      </c>
      <c r="J17" s="268"/>
    </row>
    <row r="18" spans="2:10" x14ac:dyDescent="0.25">
      <c r="B18" s="188"/>
      <c r="C18" s="185"/>
      <c r="D18" s="201"/>
      <c r="E18" s="9">
        <f>IF(ISBLANK(LaborDetail_ProductionCostTable[Hours/Week]),0,VLOOKUP(LaborDetail_ProductionCostTable[Labor Type],LaborDetail_RateTable[],5,FALSE)*LaborDetail_ProductionCostTable[Hours/Week])</f>
        <v>0</v>
      </c>
      <c r="F18" s="201"/>
      <c r="G18" s="45">
        <f>LaborDetail_ProductionCostTable[Hours/Week]*LaborDetail_ProductionCostTable[Number of Weeks]</f>
        <v>0</v>
      </c>
      <c r="H18" s="9">
        <f>LaborDetail_ProductionCostTable[Cost/Week]*LaborDetail_ProductionCostTable[Number of Weeks]</f>
        <v>0</v>
      </c>
      <c r="J18" s="268"/>
    </row>
    <row r="19" spans="2:10" x14ac:dyDescent="0.25">
      <c r="B19" s="188"/>
      <c r="C19" s="185"/>
      <c r="D19" s="201"/>
      <c r="E19" s="9">
        <f>IF(ISBLANK(LaborDetail_ProductionCostTable[Hours/Week]),0,VLOOKUP(LaborDetail_ProductionCostTable[Labor Type],LaborDetail_RateTable[],5,FALSE)*LaborDetail_ProductionCostTable[Hours/Week])</f>
        <v>0</v>
      </c>
      <c r="F19" s="201"/>
      <c r="G19" s="45">
        <f>LaborDetail_ProductionCostTable[Hours/Week]*LaborDetail_ProductionCostTable[Number of Weeks]</f>
        <v>0</v>
      </c>
      <c r="H19" s="9">
        <f>LaborDetail_ProductionCostTable[Cost/Week]*LaborDetail_ProductionCostTable[Number of Weeks]</f>
        <v>0</v>
      </c>
      <c r="J19" s="268"/>
    </row>
    <row r="20" spans="2:10" x14ac:dyDescent="0.25">
      <c r="B20" s="200"/>
      <c r="C20" s="195"/>
      <c r="D20" s="202"/>
      <c r="E20" s="97">
        <f>IF(ISBLANK(LaborDetail_ProductionCostTable[Hours/Week]),0,VLOOKUP(LaborDetail_ProductionCostTable[Labor Type],LaborDetail_RateTable[],5,FALSE)*LaborDetail_ProductionCostTable[Hours/Week])</f>
        <v>0</v>
      </c>
      <c r="F20" s="202"/>
      <c r="G20" s="45">
        <f>LaborDetail_ProductionCostTable[Hours/Week]*LaborDetail_ProductionCostTable[Number of Weeks]</f>
        <v>0</v>
      </c>
      <c r="H20" s="9">
        <f>LaborDetail_ProductionCostTable[Cost/Week]*LaborDetail_ProductionCostTable[Number of Weeks]</f>
        <v>0</v>
      </c>
      <c r="J20" s="268"/>
    </row>
    <row r="21" spans="2:10" x14ac:dyDescent="0.25">
      <c r="B21" s="11" t="s">
        <v>164</v>
      </c>
      <c r="C21" s="137"/>
      <c r="D21" s="137"/>
      <c r="E21" s="137"/>
      <c r="F21" s="138"/>
      <c r="G21" s="153">
        <f>SUBTOTAL(109,LaborDetail_ProductionCostTable[Annual Hours])</f>
        <v>0</v>
      </c>
      <c r="H21" s="9">
        <f>SUBTOTAL(109,LaborDetail_ProductionCostTable[Annual Cost])</f>
        <v>0</v>
      </c>
      <c r="J21" s="269"/>
    </row>
    <row r="22" spans="2:10" ht="15.75" thickBot="1" x14ac:dyDescent="0.3">
      <c r="J22" s="207"/>
    </row>
    <row r="23" spans="2:10" x14ac:dyDescent="0.25">
      <c r="B23" s="253" t="s">
        <v>241</v>
      </c>
      <c r="C23" s="254"/>
      <c r="D23" s="254"/>
      <c r="E23" s="254"/>
      <c r="F23" s="254"/>
      <c r="G23" s="254"/>
      <c r="H23" s="255"/>
      <c r="J23" s="267" t="s">
        <v>248</v>
      </c>
    </row>
    <row r="24" spans="2:10" ht="30" x14ac:dyDescent="0.25">
      <c r="B24" s="104" t="s">
        <v>50</v>
      </c>
      <c r="C24" s="7" t="s">
        <v>46</v>
      </c>
      <c r="D24" s="8" t="s">
        <v>51</v>
      </c>
      <c r="E24" s="8" t="s">
        <v>52</v>
      </c>
      <c r="F24" s="8" t="s">
        <v>53</v>
      </c>
      <c r="G24" s="8" t="s">
        <v>225</v>
      </c>
      <c r="H24" s="105" t="s">
        <v>54</v>
      </c>
      <c r="J24" s="268"/>
    </row>
    <row r="25" spans="2:10" s="140" customFormat="1" x14ac:dyDescent="0.25">
      <c r="B25" s="193"/>
      <c r="C25" s="184"/>
      <c r="D25" s="201"/>
      <c r="E25" s="9">
        <f>IF(ISBLANK(LaborDetail_HarvestPackCostTable[Hours/Week]),0,VLOOKUP(LaborDetail_HarvestPackCostTable[Labor Type],LaborDetail_RateTable[],5,FALSE)*LaborDetail_HarvestPackCostTable[Hours/Week])</f>
        <v>0</v>
      </c>
      <c r="F25" s="201"/>
      <c r="G25" s="26">
        <f>+LaborDetail_HarvestPackCostTable[Hours/Week]*LaborDetail_HarvestPackCostTable[Number of Weeks]</f>
        <v>0</v>
      </c>
      <c r="H25" s="96">
        <f>LaborDetail_HarvestPackCostTable[Cost/Week]*LaborDetail_HarvestPackCostTable[Number of Weeks]</f>
        <v>0</v>
      </c>
      <c r="J25" s="268"/>
    </row>
    <row r="26" spans="2:10" s="140" customFormat="1" x14ac:dyDescent="0.25">
      <c r="B26" s="194"/>
      <c r="C26" s="196"/>
      <c r="D26" s="202"/>
      <c r="E26" s="97">
        <f>IF(ISBLANK(LaborDetail_HarvestPackCostTable[Hours/Week]),0,VLOOKUP(LaborDetail_HarvestPackCostTable[Labor Type],LaborDetail_RateTable[],5,FALSE)*LaborDetail_HarvestPackCostTable[Hours/Week])</f>
        <v>0</v>
      </c>
      <c r="F26" s="202"/>
      <c r="G26" s="159">
        <f>+LaborDetail_HarvestPackCostTable[Hours/Week]*LaborDetail_HarvestPackCostTable[Number of Weeks]</f>
        <v>0</v>
      </c>
      <c r="H26" s="98">
        <f>LaborDetail_HarvestPackCostTable[Cost/Week]*LaborDetail_HarvestPackCostTable[Number of Weeks]</f>
        <v>0</v>
      </c>
      <c r="J26" s="268"/>
    </row>
    <row r="27" spans="2:10" s="140" customFormat="1" x14ac:dyDescent="0.25">
      <c r="B27" s="194"/>
      <c r="C27" s="196"/>
      <c r="D27" s="202"/>
      <c r="E27" s="97">
        <f>IF(ISBLANK(LaborDetail_HarvestPackCostTable[Hours/Week]),0,VLOOKUP(LaborDetail_HarvestPackCostTable[Labor Type],LaborDetail_RateTable[],5,FALSE)*LaborDetail_HarvestPackCostTable[Hours/Week])</f>
        <v>0</v>
      </c>
      <c r="F27" s="202"/>
      <c r="G27" s="39">
        <f>+LaborDetail_HarvestPackCostTable[Hours/Week]*LaborDetail_HarvestPackCostTable[Number of Weeks]</f>
        <v>0</v>
      </c>
      <c r="H27" s="98">
        <f>LaborDetail_HarvestPackCostTable[Cost/Week]*LaborDetail_HarvestPackCostTable[Number of Weeks]</f>
        <v>0</v>
      </c>
      <c r="J27" s="268"/>
    </row>
    <row r="28" spans="2:10" s="140" customFormat="1" x14ac:dyDescent="0.25">
      <c r="B28" s="11" t="s">
        <v>22</v>
      </c>
      <c r="C28" s="158"/>
      <c r="D28" s="137"/>
      <c r="E28" s="137"/>
      <c r="F28" s="138"/>
      <c r="G28" s="27">
        <f>SUBTOTAL(109,LaborDetail_HarvestPackCostTable[Annual Hours])</f>
        <v>0</v>
      </c>
      <c r="H28" s="98">
        <f>SUBTOTAL(109,LaborDetail_HarvestPackCostTable[Annual Cost])</f>
        <v>0</v>
      </c>
      <c r="J28" s="269"/>
    </row>
    <row r="29" spans="2:10" s="140" customFormat="1" ht="15.75" thickBot="1" x14ac:dyDescent="0.3">
      <c r="J29" s="173"/>
    </row>
    <row r="30" spans="2:10" ht="15" customHeight="1" x14ac:dyDescent="0.25">
      <c r="B30" s="253" t="s">
        <v>99</v>
      </c>
      <c r="C30" s="254"/>
      <c r="D30" s="254"/>
      <c r="E30" s="254"/>
      <c r="F30" s="254"/>
      <c r="G30" s="254"/>
      <c r="H30" s="255"/>
      <c r="J30" s="267" t="s">
        <v>249</v>
      </c>
    </row>
    <row r="31" spans="2:10" ht="30" x14ac:dyDescent="0.25">
      <c r="B31" s="32" t="s">
        <v>50</v>
      </c>
      <c r="C31" s="152" t="s">
        <v>23</v>
      </c>
      <c r="D31" s="8" t="s">
        <v>51</v>
      </c>
      <c r="E31" s="8" t="s">
        <v>130</v>
      </c>
      <c r="F31" s="8" t="s">
        <v>53</v>
      </c>
      <c r="G31" s="105" t="s">
        <v>225</v>
      </c>
      <c r="H31" s="105" t="s">
        <v>131</v>
      </c>
      <c r="J31" s="268"/>
    </row>
    <row r="32" spans="2:10" x14ac:dyDescent="0.25">
      <c r="B32" s="193"/>
      <c r="C32" s="149"/>
      <c r="D32" s="201"/>
      <c r="E32" s="203"/>
      <c r="F32" s="204"/>
      <c r="G32" s="154">
        <f>LaborDetail_UnpaidTable[Hours/Week]*LaborDetail_UnpaidTable[Number of Weeks]</f>
        <v>0</v>
      </c>
      <c r="H32" s="143">
        <f>LaborDetail_UnpaidTable[Value/Week]*LaborDetail_UnpaidTable[Number of Weeks]</f>
        <v>0</v>
      </c>
      <c r="J32" s="268"/>
    </row>
    <row r="33" spans="2:10" x14ac:dyDescent="0.25">
      <c r="B33" s="193"/>
      <c r="C33" s="149"/>
      <c r="D33" s="201"/>
      <c r="E33" s="203"/>
      <c r="F33" s="204"/>
      <c r="G33" s="154">
        <f>LaborDetail_UnpaidTable[Hours/Week]*LaborDetail_UnpaidTable[Number of Weeks]</f>
        <v>0</v>
      </c>
      <c r="H33" s="143">
        <f>LaborDetail_UnpaidTable[Value/Week]*LaborDetail_UnpaidTable[Number of Weeks]</f>
        <v>0</v>
      </c>
      <c r="J33" s="268"/>
    </row>
    <row r="34" spans="2:10" x14ac:dyDescent="0.25">
      <c r="B34" s="193"/>
      <c r="C34" s="149"/>
      <c r="D34" s="201"/>
      <c r="E34" s="203"/>
      <c r="F34" s="204"/>
      <c r="G34" s="154">
        <f>LaborDetail_UnpaidTable[Hours/Week]*LaborDetail_UnpaidTable[Number of Weeks]</f>
        <v>0</v>
      </c>
      <c r="H34" s="143">
        <f>LaborDetail_UnpaidTable[Value/Week]*LaborDetail_UnpaidTable[Number of Weeks]</f>
        <v>0</v>
      </c>
      <c r="J34" s="268"/>
    </row>
    <row r="35" spans="2:10" x14ac:dyDescent="0.25">
      <c r="B35" s="194"/>
      <c r="C35" s="151"/>
      <c r="D35" s="202"/>
      <c r="E35" s="205"/>
      <c r="F35" s="206"/>
      <c r="G35" s="150">
        <f>LaborDetail_UnpaidTable[Hours/Week]*LaborDetail_UnpaidTable[Number of Weeks]</f>
        <v>0</v>
      </c>
      <c r="H35" s="144">
        <f>LaborDetail_UnpaidTable[Value/Week]*LaborDetail_UnpaidTable[Number of Weeks]</f>
        <v>0</v>
      </c>
      <c r="J35" s="268"/>
    </row>
    <row r="36" spans="2:10" x14ac:dyDescent="0.25">
      <c r="B36" s="162" t="s">
        <v>22</v>
      </c>
      <c r="C36" s="163"/>
      <c r="D36" s="163"/>
      <c r="E36" s="164"/>
      <c r="F36" s="165"/>
      <c r="G36" s="161">
        <f>SUBTOTAL(109,LaborDetail_UnpaidTable[Annual Hours])</f>
        <v>0</v>
      </c>
      <c r="H36" s="144">
        <f>SUBTOTAL(109,LaborDetail_UnpaidTable[Annual Value])</f>
        <v>0</v>
      </c>
      <c r="J36" s="269"/>
    </row>
  </sheetData>
  <sheetProtection algorithmName="SHA-512" hashValue="W2fMa1aMIkwfFcro7LpRxU4WBmM4nNYxSNwsysiBya0YBT6wiIxiA6bJnBPUt9wcAz90UwsyEhNKaO5PjSF+sw==" saltValue="Bnko622GlHuBOwf1ymDNdg==" spinCount="100000" sheet="1" objects="1" scenarios="1"/>
  <mergeCells count="9">
    <mergeCell ref="B10:H10"/>
    <mergeCell ref="B30:H30"/>
    <mergeCell ref="B4:F4"/>
    <mergeCell ref="B2:G2"/>
    <mergeCell ref="J4:J8"/>
    <mergeCell ref="B23:H23"/>
    <mergeCell ref="J10:J21"/>
    <mergeCell ref="J23:J28"/>
    <mergeCell ref="J30:J36"/>
  </mergeCells>
  <dataValidations count="1">
    <dataValidation type="list" errorStyle="warning" allowBlank="1" showInputMessage="1" showErrorMessage="1" error="List labor types in Labor Rates table, then select from dropdown menu here." prompt="List labor types in Labor Rates Table, then select from dropdown menu here." sqref="C12:C20 C25:C27" xr:uid="{7FF20FB1-AB60-496C-B25D-1C6C403B9386}">
      <formula1>LaborTypes</formula1>
    </dataValidation>
  </dataValidations>
  <pageMargins left="0.7" right="0.7" top="0.75" bottom="0.75" header="0.3" footer="0.3"/>
  <pageSetup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FA17-779F-4057-A1A0-E1C5DD2BB08E}">
  <dimension ref="B2:N76"/>
  <sheetViews>
    <sheetView showGridLines="0" zoomScaleNormal="100" workbookViewId="0"/>
  </sheetViews>
  <sheetFormatPr defaultRowHeight="15" x14ac:dyDescent="0.25"/>
  <cols>
    <col min="1" max="1" width="4.7109375" customWidth="1"/>
    <col min="2" max="2" width="44.7109375" customWidth="1"/>
    <col min="3" max="3" width="9" customWidth="1"/>
    <col min="4" max="4" width="8.5703125" customWidth="1"/>
    <col min="5" max="5" width="8.28515625" customWidth="1"/>
    <col min="6" max="6" width="8.85546875" customWidth="1"/>
    <col min="7" max="7" width="9.28515625" customWidth="1"/>
    <col min="8" max="8" width="9.7109375" customWidth="1"/>
    <col min="9" max="10" width="9" customWidth="1"/>
    <col min="11" max="11" width="12.7109375" customWidth="1"/>
    <col min="12" max="12" width="12" customWidth="1"/>
    <col min="13" max="13" width="4.7109375" customWidth="1"/>
    <col min="14" max="14" width="70.7109375" customWidth="1"/>
  </cols>
  <sheetData>
    <row r="2" spans="2:14" x14ac:dyDescent="0.25">
      <c r="B2" s="260" t="s">
        <v>5</v>
      </c>
      <c r="C2" s="260"/>
      <c r="D2" s="260"/>
      <c r="E2" s="260"/>
      <c r="F2" s="260"/>
      <c r="G2" s="260"/>
      <c r="H2" s="260"/>
      <c r="I2" s="260"/>
      <c r="J2" s="260"/>
      <c r="K2" s="260"/>
      <c r="L2" s="260"/>
    </row>
    <row r="3" spans="2:14" x14ac:dyDescent="0.25">
      <c r="N3" s="139" t="s">
        <v>61</v>
      </c>
    </row>
    <row r="4" spans="2:14" x14ac:dyDescent="0.25">
      <c r="B4" s="3" t="s">
        <v>7</v>
      </c>
      <c r="C4" s="208"/>
      <c r="N4" s="267" t="s">
        <v>250</v>
      </c>
    </row>
    <row r="5" spans="2:14" ht="15.75" thickBot="1" x14ac:dyDescent="0.3">
      <c r="N5" s="268"/>
    </row>
    <row r="6" spans="2:14" x14ac:dyDescent="0.25">
      <c r="B6" s="253" t="s">
        <v>6</v>
      </c>
      <c r="C6" s="254"/>
      <c r="D6" s="254"/>
      <c r="E6" s="254"/>
      <c r="F6" s="254"/>
      <c r="G6" s="254"/>
      <c r="H6" s="254"/>
      <c r="I6" s="254"/>
      <c r="J6" s="254"/>
      <c r="K6" s="254"/>
      <c r="L6" s="255"/>
      <c r="N6" s="268"/>
    </row>
    <row r="7" spans="2:14" x14ac:dyDescent="0.25">
      <c r="B7" s="5"/>
      <c r="C7" s="302"/>
      <c r="D7" s="302"/>
      <c r="E7" s="302"/>
      <c r="F7" s="302"/>
      <c r="G7" s="301" t="s">
        <v>16</v>
      </c>
      <c r="H7" s="301"/>
      <c r="I7" s="301"/>
      <c r="J7" s="301"/>
      <c r="K7" s="301"/>
      <c r="L7" s="301"/>
      <c r="N7" s="268"/>
    </row>
    <row r="8" spans="2:14" ht="45" x14ac:dyDescent="0.25">
      <c r="B8" s="7" t="s">
        <v>8</v>
      </c>
      <c r="C8" s="8" t="s">
        <v>17</v>
      </c>
      <c r="D8" s="8" t="s">
        <v>9</v>
      </c>
      <c r="E8" s="8" t="s">
        <v>10</v>
      </c>
      <c r="F8" s="8" t="s">
        <v>11</v>
      </c>
      <c r="G8" s="8" t="s">
        <v>12</v>
      </c>
      <c r="H8" s="8" t="s">
        <v>13</v>
      </c>
      <c r="I8" s="8" t="s">
        <v>14</v>
      </c>
      <c r="J8" s="8" t="s">
        <v>15</v>
      </c>
      <c r="K8" s="8" t="s">
        <v>18</v>
      </c>
      <c r="L8" s="8" t="s">
        <v>19</v>
      </c>
      <c r="N8" s="268"/>
    </row>
    <row r="9" spans="2:14" x14ac:dyDescent="0.25">
      <c r="B9" s="200"/>
      <c r="C9" s="209"/>
      <c r="D9" s="178"/>
      <c r="E9" s="209"/>
      <c r="F9" s="197"/>
      <c r="G9" s="9">
        <f>IF(ISBLANK(FixedOverhead_GreenhouseTable[Use Life (Years)]),0,PMT(AnnualInterestRate,FixedOverhead_GreenhouseTable[Use Life (Years)],-FixedOverhead_GreenhouseTable[Original Cost],FixedOverhead_GreenhouseTable[Salvage Value],0))</f>
        <v>0</v>
      </c>
      <c r="H9" s="209"/>
      <c r="I9" s="209"/>
      <c r="J9" s="209"/>
      <c r="K9" s="9">
        <f>FixedOverhead_GreenhouseTable[Capital Recovery]*(1-FixedOverhead_GreenhouseTable[Financed Portion])</f>
        <v>0</v>
      </c>
      <c r="L9" s="9">
        <f>FixedOverhead_GreenhouseTable[Insurance]+FixedOverhead_GreenhouseTable[Taxes &amp; Fees]+FixedOverhead_GreenhouseTable[Fixed Repairs]+(FixedOverhead_GreenhouseTable[Capital Recovery]*FixedOverhead_GreenhouseTable[Financed Portion])</f>
        <v>0</v>
      </c>
      <c r="N9" s="268"/>
    </row>
    <row r="10" spans="2:14" x14ac:dyDescent="0.25">
      <c r="B10" s="210"/>
      <c r="C10" s="209"/>
      <c r="D10" s="178"/>
      <c r="E10" s="209"/>
      <c r="F10" s="197"/>
      <c r="G10" s="9">
        <f>IF(ISBLANK(FixedOverhead_GreenhouseTable[Use Life (Years)]),0,PMT(AnnualInterestRate,FixedOverhead_GreenhouseTable[Use Life (Years)],-FixedOverhead_GreenhouseTable[Original Cost],FixedOverhead_GreenhouseTable[Salvage Value],0))</f>
        <v>0</v>
      </c>
      <c r="H10" s="209"/>
      <c r="I10" s="209"/>
      <c r="J10" s="209"/>
      <c r="K10" s="9">
        <f>FixedOverhead_GreenhouseTable[Capital Recovery]*(1-FixedOverhead_GreenhouseTable[Financed Portion])</f>
        <v>0</v>
      </c>
      <c r="L10" s="9">
        <f>FixedOverhead_GreenhouseTable[Insurance]+FixedOverhead_GreenhouseTable[Taxes &amp; Fees]+FixedOverhead_GreenhouseTable[Fixed Repairs]+(FixedOverhead_GreenhouseTable[Capital Recovery]*FixedOverhead_GreenhouseTable[Financed Portion])</f>
        <v>0</v>
      </c>
      <c r="N10" s="268"/>
    </row>
    <row r="11" spans="2:14" x14ac:dyDescent="0.25">
      <c r="B11" s="210"/>
      <c r="C11" s="209"/>
      <c r="D11" s="178"/>
      <c r="E11" s="209"/>
      <c r="F11" s="197"/>
      <c r="G11" s="9">
        <f>IF(ISBLANK(FixedOverhead_GreenhouseTable[Use Life (Years)]),0,PMT(AnnualInterestRate,FixedOverhead_GreenhouseTable[Use Life (Years)],-FixedOverhead_GreenhouseTable[Original Cost],FixedOverhead_GreenhouseTable[Salvage Value],0))</f>
        <v>0</v>
      </c>
      <c r="H11" s="209"/>
      <c r="I11" s="209"/>
      <c r="J11" s="209"/>
      <c r="K11" s="9">
        <f>FixedOverhead_GreenhouseTable[Capital Recovery]*(1-FixedOverhead_GreenhouseTable[Financed Portion])</f>
        <v>0</v>
      </c>
      <c r="L11" s="9">
        <f>FixedOverhead_GreenhouseTable[Insurance]+FixedOverhead_GreenhouseTable[Taxes &amp; Fees]+FixedOverhead_GreenhouseTable[Fixed Repairs]+(FixedOverhead_GreenhouseTable[Capital Recovery]*FixedOverhead_GreenhouseTable[Financed Portion])</f>
        <v>0</v>
      </c>
      <c r="N11" s="268"/>
    </row>
    <row r="12" spans="2:14" x14ac:dyDescent="0.25">
      <c r="B12" s="210"/>
      <c r="C12" s="209"/>
      <c r="D12" s="178"/>
      <c r="E12" s="209"/>
      <c r="F12" s="197"/>
      <c r="G12" s="9">
        <f>IF(ISBLANK(FixedOverhead_GreenhouseTable[Use Life (Years)]),0,PMT(AnnualInterestRate,FixedOverhead_GreenhouseTable[Use Life (Years)],-FixedOverhead_GreenhouseTable[Original Cost],FixedOverhead_GreenhouseTable[Salvage Value],0))</f>
        <v>0</v>
      </c>
      <c r="H12" s="209"/>
      <c r="I12" s="209"/>
      <c r="J12" s="209"/>
      <c r="K12" s="9">
        <f>FixedOverhead_GreenhouseTable[Capital Recovery]*(1-FixedOverhead_GreenhouseTable[Financed Portion])</f>
        <v>0</v>
      </c>
      <c r="L12" s="9">
        <f>FixedOverhead_GreenhouseTable[Insurance]+FixedOverhead_GreenhouseTable[Taxes &amp; Fees]+FixedOverhead_GreenhouseTable[Fixed Repairs]+(FixedOverhead_GreenhouseTable[Capital Recovery]*FixedOverhead_GreenhouseTable[Financed Portion])</f>
        <v>0</v>
      </c>
      <c r="N12" s="268"/>
    </row>
    <row r="13" spans="2:14" x14ac:dyDescent="0.25">
      <c r="B13" s="210"/>
      <c r="C13" s="209"/>
      <c r="D13" s="178"/>
      <c r="E13" s="209"/>
      <c r="F13" s="197"/>
      <c r="G13" s="9">
        <f>IF(ISBLANK(FixedOverhead_GreenhouseTable[Use Life (Years)]),0,PMT(AnnualInterestRate,FixedOverhead_GreenhouseTable[Use Life (Years)],-FixedOverhead_GreenhouseTable[Original Cost],FixedOverhead_GreenhouseTable[Salvage Value],0))</f>
        <v>0</v>
      </c>
      <c r="H13" s="209"/>
      <c r="I13" s="209"/>
      <c r="J13" s="209"/>
      <c r="K13" s="9">
        <f>FixedOverhead_GreenhouseTable[Capital Recovery]*(1-FixedOverhead_GreenhouseTable[Financed Portion])</f>
        <v>0</v>
      </c>
      <c r="L13" s="9">
        <f>FixedOverhead_GreenhouseTable[Insurance]+FixedOverhead_GreenhouseTable[Taxes &amp; Fees]+FixedOverhead_GreenhouseTable[Fixed Repairs]+(FixedOverhead_GreenhouseTable[Capital Recovery]*FixedOverhead_GreenhouseTable[Financed Portion])</f>
        <v>0</v>
      </c>
      <c r="N13" s="268"/>
    </row>
    <row r="14" spans="2:14" x14ac:dyDescent="0.25">
      <c r="B14" s="210"/>
      <c r="C14" s="209"/>
      <c r="D14" s="178"/>
      <c r="E14" s="209"/>
      <c r="F14" s="197"/>
      <c r="G14" s="9">
        <f>IF(ISBLANK(FixedOverhead_GreenhouseTable[Use Life (Years)]),0,PMT(AnnualInterestRate,FixedOverhead_GreenhouseTable[Use Life (Years)],-FixedOverhead_GreenhouseTable[Original Cost],FixedOverhead_GreenhouseTable[Salvage Value],0))</f>
        <v>0</v>
      </c>
      <c r="H14" s="209"/>
      <c r="I14" s="209"/>
      <c r="J14" s="209"/>
      <c r="K14" s="9">
        <f>FixedOverhead_GreenhouseTable[Capital Recovery]*(1-FixedOverhead_GreenhouseTable[Financed Portion])</f>
        <v>0</v>
      </c>
      <c r="L14" s="9">
        <f>FixedOverhead_GreenhouseTable[Insurance]+FixedOverhead_GreenhouseTable[Taxes &amp; Fees]+FixedOverhead_GreenhouseTable[Fixed Repairs]+(FixedOverhead_GreenhouseTable[Capital Recovery]*FixedOverhead_GreenhouseTable[Financed Portion])</f>
        <v>0</v>
      </c>
      <c r="N14" s="268"/>
    </row>
    <row r="15" spans="2:14" x14ac:dyDescent="0.25">
      <c r="B15" s="210"/>
      <c r="C15" s="209"/>
      <c r="D15" s="178"/>
      <c r="E15" s="209"/>
      <c r="F15" s="197"/>
      <c r="G15" s="9">
        <f>IF(ISBLANK(FixedOverhead_GreenhouseTable[Use Life (Years)]),0,PMT(AnnualInterestRate,FixedOverhead_GreenhouseTable[Use Life (Years)],-FixedOverhead_GreenhouseTable[Original Cost],FixedOverhead_GreenhouseTable[Salvage Value],0))</f>
        <v>0</v>
      </c>
      <c r="H15" s="209"/>
      <c r="I15" s="209"/>
      <c r="J15" s="209"/>
      <c r="K15" s="9">
        <f>FixedOverhead_GreenhouseTable[Capital Recovery]*(1-FixedOverhead_GreenhouseTable[Financed Portion])</f>
        <v>0</v>
      </c>
      <c r="L15" s="9">
        <f>FixedOverhead_GreenhouseTable[Insurance]+FixedOverhead_GreenhouseTable[Taxes &amp; Fees]+FixedOverhead_GreenhouseTable[Fixed Repairs]+(FixedOverhead_GreenhouseTable[Capital Recovery]*FixedOverhead_GreenhouseTable[Financed Portion])</f>
        <v>0</v>
      </c>
      <c r="N15" s="268"/>
    </row>
    <row r="16" spans="2:14" x14ac:dyDescent="0.25">
      <c r="B16" s="210"/>
      <c r="C16" s="209"/>
      <c r="D16" s="178"/>
      <c r="E16" s="209"/>
      <c r="F16" s="197"/>
      <c r="G16" s="9">
        <f>IF(ISBLANK(FixedOverhead_GreenhouseTable[Use Life (Years)]),0,PMT(AnnualInterestRate,FixedOverhead_GreenhouseTable[Use Life (Years)],-FixedOverhead_GreenhouseTable[Original Cost],FixedOverhead_GreenhouseTable[Salvage Value],0))</f>
        <v>0</v>
      </c>
      <c r="H16" s="209"/>
      <c r="I16" s="209"/>
      <c r="J16" s="209"/>
      <c r="K16" s="9">
        <f>FixedOverhead_GreenhouseTable[Capital Recovery]*(1-FixedOverhead_GreenhouseTable[Financed Portion])</f>
        <v>0</v>
      </c>
      <c r="L16" s="9">
        <f>FixedOverhead_GreenhouseTable[Insurance]+FixedOverhead_GreenhouseTable[Taxes &amp; Fees]+FixedOverhead_GreenhouseTable[Fixed Repairs]+(FixedOverhead_GreenhouseTable[Capital Recovery]*FixedOverhead_GreenhouseTable[Financed Portion])</f>
        <v>0</v>
      </c>
      <c r="N16" s="268"/>
    </row>
    <row r="17" spans="2:14" x14ac:dyDescent="0.25">
      <c r="B17" s="210"/>
      <c r="C17" s="209"/>
      <c r="D17" s="178"/>
      <c r="E17" s="209"/>
      <c r="F17" s="197"/>
      <c r="G17" s="9">
        <f>IF(ISBLANK(FixedOverhead_GreenhouseTable[Use Life (Years)]),0,PMT(AnnualInterestRate,FixedOverhead_GreenhouseTable[Use Life (Years)],-FixedOverhead_GreenhouseTable[Original Cost],FixedOverhead_GreenhouseTable[Salvage Value],0))</f>
        <v>0</v>
      </c>
      <c r="H17" s="209"/>
      <c r="I17" s="209"/>
      <c r="J17" s="209"/>
      <c r="K17" s="9">
        <f>FixedOverhead_GreenhouseTable[Capital Recovery]*(1-FixedOverhead_GreenhouseTable[Financed Portion])</f>
        <v>0</v>
      </c>
      <c r="L17" s="9">
        <f>FixedOverhead_GreenhouseTable[Insurance]+FixedOverhead_GreenhouseTable[Taxes &amp; Fees]+FixedOverhead_GreenhouseTable[Fixed Repairs]+(FixedOverhead_GreenhouseTable[Capital Recovery]*FixedOverhead_GreenhouseTable[Financed Portion])</f>
        <v>0</v>
      </c>
      <c r="N17" s="268"/>
    </row>
    <row r="18" spans="2:14" x14ac:dyDescent="0.25">
      <c r="B18" s="210"/>
      <c r="C18" s="209"/>
      <c r="D18" s="178"/>
      <c r="E18" s="209"/>
      <c r="F18" s="197"/>
      <c r="G18" s="9">
        <f>IF(ISBLANK(FixedOverhead_GreenhouseTable[Use Life (Years)]),0,PMT(AnnualInterestRate,FixedOverhead_GreenhouseTable[Use Life (Years)],-FixedOverhead_GreenhouseTable[Original Cost],FixedOverhead_GreenhouseTable[Salvage Value],0))</f>
        <v>0</v>
      </c>
      <c r="H18" s="209"/>
      <c r="I18" s="209"/>
      <c r="J18" s="209"/>
      <c r="K18" s="9">
        <f>FixedOverhead_GreenhouseTable[Capital Recovery]*(1-FixedOverhead_GreenhouseTable[Financed Portion])</f>
        <v>0</v>
      </c>
      <c r="L18" s="9">
        <f>FixedOverhead_GreenhouseTable[Insurance]+FixedOverhead_GreenhouseTable[Taxes &amp; Fees]+FixedOverhead_GreenhouseTable[Fixed Repairs]+(FixedOverhead_GreenhouseTable[Capital Recovery]*FixedOverhead_GreenhouseTable[Financed Portion])</f>
        <v>0</v>
      </c>
      <c r="N18" s="268"/>
    </row>
    <row r="19" spans="2:14" x14ac:dyDescent="0.25">
      <c r="B19" s="210"/>
      <c r="C19" s="209"/>
      <c r="D19" s="178"/>
      <c r="E19" s="209"/>
      <c r="F19" s="197"/>
      <c r="G19" s="9">
        <f>IF(ISBLANK(FixedOverhead_GreenhouseTable[Use Life (Years)]),0,PMT(AnnualInterestRate,FixedOverhead_GreenhouseTable[Use Life (Years)],-FixedOverhead_GreenhouseTable[Original Cost],FixedOverhead_GreenhouseTable[Salvage Value],0))</f>
        <v>0</v>
      </c>
      <c r="H19" s="209"/>
      <c r="I19" s="209"/>
      <c r="J19" s="209"/>
      <c r="K19" s="9">
        <f>FixedOverhead_GreenhouseTable[Capital Recovery]*(1-FixedOverhead_GreenhouseTable[Financed Portion])</f>
        <v>0</v>
      </c>
      <c r="L19" s="9">
        <f>FixedOverhead_GreenhouseTable[Insurance]+FixedOverhead_GreenhouseTable[Taxes &amp; Fees]+FixedOverhead_GreenhouseTable[Fixed Repairs]+(FixedOverhead_GreenhouseTable[Capital Recovery]*FixedOverhead_GreenhouseTable[Financed Portion])</f>
        <v>0</v>
      </c>
      <c r="N19" s="268"/>
    </row>
    <row r="20" spans="2:14" x14ac:dyDescent="0.25">
      <c r="B20" s="210"/>
      <c r="C20" s="209"/>
      <c r="D20" s="178"/>
      <c r="E20" s="209"/>
      <c r="F20" s="197"/>
      <c r="G20" s="9">
        <f>IF(ISBLANK(FixedOverhead_GreenhouseTable[Use Life (Years)]),0,PMT(AnnualInterestRate,FixedOverhead_GreenhouseTable[Use Life (Years)],-FixedOverhead_GreenhouseTable[Original Cost],FixedOverhead_GreenhouseTable[Salvage Value],0))</f>
        <v>0</v>
      </c>
      <c r="H20" s="209"/>
      <c r="I20" s="209"/>
      <c r="J20" s="209"/>
      <c r="K20" s="9">
        <f>FixedOverhead_GreenhouseTable[Capital Recovery]*(1-FixedOverhead_GreenhouseTable[Financed Portion])</f>
        <v>0</v>
      </c>
      <c r="L20" s="9">
        <f>FixedOverhead_GreenhouseTable[Insurance]+FixedOverhead_GreenhouseTable[Taxes &amp; Fees]+FixedOverhead_GreenhouseTable[Fixed Repairs]+(FixedOverhead_GreenhouseTable[Capital Recovery]*FixedOverhead_GreenhouseTable[Financed Portion])</f>
        <v>0</v>
      </c>
      <c r="N20" s="268"/>
    </row>
    <row r="21" spans="2:14" x14ac:dyDescent="0.25">
      <c r="B21" s="210"/>
      <c r="C21" s="209"/>
      <c r="D21" s="178"/>
      <c r="E21" s="209"/>
      <c r="F21" s="197"/>
      <c r="G21" s="9">
        <f>IF(ISBLANK(FixedOverhead_GreenhouseTable[Use Life (Years)]),0,PMT(AnnualInterestRate,FixedOverhead_GreenhouseTable[Use Life (Years)],-FixedOverhead_GreenhouseTable[Original Cost],FixedOverhead_GreenhouseTable[Salvage Value],0))</f>
        <v>0</v>
      </c>
      <c r="H21" s="209"/>
      <c r="I21" s="209"/>
      <c r="J21" s="209"/>
      <c r="K21" s="9">
        <f>FixedOverhead_GreenhouseTable[Capital Recovery]*(1-FixedOverhead_GreenhouseTable[Financed Portion])</f>
        <v>0</v>
      </c>
      <c r="L21" s="9">
        <f>FixedOverhead_GreenhouseTable[Insurance]+FixedOverhead_GreenhouseTable[Taxes &amp; Fees]+FixedOverhead_GreenhouseTable[Fixed Repairs]+(FixedOverhead_GreenhouseTable[Capital Recovery]*FixedOverhead_GreenhouseTable[Financed Portion])</f>
        <v>0</v>
      </c>
      <c r="N21" s="268"/>
    </row>
    <row r="22" spans="2:14" x14ac:dyDescent="0.25">
      <c r="B22" s="210"/>
      <c r="C22" s="209"/>
      <c r="D22" s="178"/>
      <c r="E22" s="209"/>
      <c r="F22" s="197"/>
      <c r="G22" s="9">
        <f>IF(ISBLANK(FixedOverhead_GreenhouseTable[Use Life (Years)]),0,PMT(AnnualInterestRate,FixedOverhead_GreenhouseTable[Use Life (Years)],-FixedOverhead_GreenhouseTable[Original Cost],FixedOverhead_GreenhouseTable[Salvage Value],0))</f>
        <v>0</v>
      </c>
      <c r="H22" s="209"/>
      <c r="I22" s="209"/>
      <c r="J22" s="209"/>
      <c r="K22" s="9">
        <f>FixedOverhead_GreenhouseTable[Capital Recovery]*(1-FixedOverhead_GreenhouseTable[Financed Portion])</f>
        <v>0</v>
      </c>
      <c r="L22" s="9">
        <f>FixedOverhead_GreenhouseTable[Insurance]+FixedOverhead_GreenhouseTable[Taxes &amp; Fees]+FixedOverhead_GreenhouseTable[Fixed Repairs]+(FixedOverhead_GreenhouseTable[Capital Recovery]*FixedOverhead_GreenhouseTable[Financed Portion])</f>
        <v>0</v>
      </c>
      <c r="N22" s="268"/>
    </row>
    <row r="23" spans="2:14" x14ac:dyDescent="0.25">
      <c r="B23" s="210"/>
      <c r="C23" s="209"/>
      <c r="D23" s="178"/>
      <c r="E23" s="209"/>
      <c r="F23" s="197"/>
      <c r="G23" s="9">
        <f>IF(ISBLANK(FixedOverhead_GreenhouseTable[Use Life (Years)]),0,PMT(AnnualInterestRate,FixedOverhead_GreenhouseTable[Use Life (Years)],-FixedOverhead_GreenhouseTable[Original Cost],FixedOverhead_GreenhouseTable[Salvage Value],0))</f>
        <v>0</v>
      </c>
      <c r="H23" s="209"/>
      <c r="I23" s="209"/>
      <c r="J23" s="209"/>
      <c r="K23" s="9">
        <f>FixedOverhead_GreenhouseTable[Capital Recovery]*(1-FixedOverhead_GreenhouseTable[Financed Portion])</f>
        <v>0</v>
      </c>
      <c r="L23" s="9">
        <f>FixedOverhead_GreenhouseTable[Insurance]+FixedOverhead_GreenhouseTable[Taxes &amp; Fees]+FixedOverhead_GreenhouseTable[Fixed Repairs]+(FixedOverhead_GreenhouseTable[Capital Recovery]*FixedOverhead_GreenhouseTable[Financed Portion])</f>
        <v>0</v>
      </c>
      <c r="N23" s="268"/>
    </row>
    <row r="24" spans="2:14" x14ac:dyDescent="0.25">
      <c r="B24" s="210"/>
      <c r="C24" s="209"/>
      <c r="D24" s="178"/>
      <c r="E24" s="209"/>
      <c r="F24" s="197"/>
      <c r="G24" s="9">
        <f>IF(ISBLANK(FixedOverhead_GreenhouseTable[Use Life (Years)]),0,PMT(AnnualInterestRate,FixedOverhead_GreenhouseTable[Use Life (Years)],-FixedOverhead_GreenhouseTable[Original Cost],FixedOverhead_GreenhouseTable[Salvage Value],0))</f>
        <v>0</v>
      </c>
      <c r="H24" s="209"/>
      <c r="I24" s="209"/>
      <c r="J24" s="209"/>
      <c r="K24" s="9">
        <f>FixedOverhead_GreenhouseTable[Capital Recovery]*(1-FixedOverhead_GreenhouseTable[Financed Portion])</f>
        <v>0</v>
      </c>
      <c r="L24" s="9">
        <f>FixedOverhead_GreenhouseTable[Insurance]+FixedOverhead_GreenhouseTable[Taxes &amp; Fees]+FixedOverhead_GreenhouseTable[Fixed Repairs]+(FixedOverhead_GreenhouseTable[Capital Recovery]*FixedOverhead_GreenhouseTable[Financed Portion])</f>
        <v>0</v>
      </c>
      <c r="N24" s="268"/>
    </row>
    <row r="25" spans="2:14" x14ac:dyDescent="0.25">
      <c r="B25" s="210"/>
      <c r="C25" s="209"/>
      <c r="D25" s="178"/>
      <c r="E25" s="209"/>
      <c r="F25" s="197"/>
      <c r="G25" s="9">
        <f>IF(ISBLANK(FixedOverhead_GreenhouseTable[Use Life (Years)]),0,PMT(AnnualInterestRate,FixedOverhead_GreenhouseTable[Use Life (Years)],-FixedOverhead_GreenhouseTable[Original Cost],FixedOverhead_GreenhouseTable[Salvage Value],0))</f>
        <v>0</v>
      </c>
      <c r="H25" s="209"/>
      <c r="I25" s="209"/>
      <c r="J25" s="209"/>
      <c r="K25" s="9">
        <f>FixedOverhead_GreenhouseTable[Capital Recovery]*(1-FixedOverhead_GreenhouseTable[Financed Portion])</f>
        <v>0</v>
      </c>
      <c r="L25" s="9">
        <f>FixedOverhead_GreenhouseTable[Insurance]+FixedOverhead_GreenhouseTable[Taxes &amp; Fees]+FixedOverhead_GreenhouseTable[Fixed Repairs]+(FixedOverhead_GreenhouseTable[Capital Recovery]*FixedOverhead_GreenhouseTable[Financed Portion])</f>
        <v>0</v>
      </c>
      <c r="N25" s="268"/>
    </row>
    <row r="26" spans="2:14" x14ac:dyDescent="0.25">
      <c r="B26" s="210"/>
      <c r="C26" s="209"/>
      <c r="D26" s="178"/>
      <c r="E26" s="209"/>
      <c r="F26" s="197"/>
      <c r="G26" s="9">
        <f>IF(ISBLANK(FixedOverhead_GreenhouseTable[Use Life (Years)]),0,PMT(AnnualInterestRate,FixedOverhead_GreenhouseTable[Use Life (Years)],-FixedOverhead_GreenhouseTable[Original Cost],FixedOverhead_GreenhouseTable[Salvage Value],0))</f>
        <v>0</v>
      </c>
      <c r="H26" s="209"/>
      <c r="I26" s="209"/>
      <c r="J26" s="209"/>
      <c r="K26" s="9">
        <f>FixedOverhead_GreenhouseTable[Capital Recovery]*(1-FixedOverhead_GreenhouseTable[Financed Portion])</f>
        <v>0</v>
      </c>
      <c r="L26" s="9">
        <f>FixedOverhead_GreenhouseTable[Insurance]+FixedOverhead_GreenhouseTable[Taxes &amp; Fees]+FixedOverhead_GreenhouseTable[Fixed Repairs]+(FixedOverhead_GreenhouseTable[Capital Recovery]*FixedOverhead_GreenhouseTable[Financed Portion])</f>
        <v>0</v>
      </c>
      <c r="N26" s="268"/>
    </row>
    <row r="27" spans="2:14" x14ac:dyDescent="0.25">
      <c r="B27" s="210"/>
      <c r="C27" s="209"/>
      <c r="D27" s="178"/>
      <c r="E27" s="209"/>
      <c r="F27" s="197"/>
      <c r="G27" s="9">
        <f>IF(ISBLANK(FixedOverhead_GreenhouseTable[Use Life (Years)]),0,PMT(AnnualInterestRate,FixedOverhead_GreenhouseTable[Use Life (Years)],-FixedOverhead_GreenhouseTable[Original Cost],FixedOverhead_GreenhouseTable[Salvage Value],0))</f>
        <v>0</v>
      </c>
      <c r="H27" s="209"/>
      <c r="I27" s="209"/>
      <c r="J27" s="209"/>
      <c r="K27" s="9">
        <f>FixedOverhead_GreenhouseTable[Capital Recovery]*(1-FixedOverhead_GreenhouseTable[Financed Portion])</f>
        <v>0</v>
      </c>
      <c r="L27" s="9">
        <f>FixedOverhead_GreenhouseTable[Insurance]+FixedOverhead_GreenhouseTable[Taxes &amp; Fees]+FixedOverhead_GreenhouseTable[Fixed Repairs]+(FixedOverhead_GreenhouseTable[Capital Recovery]*FixedOverhead_GreenhouseTable[Financed Portion])</f>
        <v>0</v>
      </c>
      <c r="N27" s="268"/>
    </row>
    <row r="28" spans="2:14" x14ac:dyDescent="0.25">
      <c r="B28" s="210"/>
      <c r="C28" s="209"/>
      <c r="D28" s="178"/>
      <c r="E28" s="209"/>
      <c r="F28" s="197"/>
      <c r="G28" s="9">
        <f>IF(ISBLANK(FixedOverhead_GreenhouseTable[Use Life (Years)]),0,PMT(AnnualInterestRate,FixedOverhead_GreenhouseTable[Use Life (Years)],-FixedOverhead_GreenhouseTable[Original Cost],FixedOverhead_GreenhouseTable[Salvage Value],0))</f>
        <v>0</v>
      </c>
      <c r="H28" s="209"/>
      <c r="I28" s="209"/>
      <c r="J28" s="209"/>
      <c r="K28" s="9">
        <f>FixedOverhead_GreenhouseTable[Capital Recovery]*(1-FixedOverhead_GreenhouseTable[Financed Portion])</f>
        <v>0</v>
      </c>
      <c r="L28" s="9">
        <f>FixedOverhead_GreenhouseTable[Insurance]+FixedOverhead_GreenhouseTable[Taxes &amp; Fees]+FixedOverhead_GreenhouseTable[Fixed Repairs]+(FixedOverhead_GreenhouseTable[Capital Recovery]*FixedOverhead_GreenhouseTable[Financed Portion])</f>
        <v>0</v>
      </c>
      <c r="N28" s="268"/>
    </row>
    <row r="29" spans="2:14" x14ac:dyDescent="0.25">
      <c r="B29" s="210"/>
      <c r="C29" s="209"/>
      <c r="D29" s="178"/>
      <c r="E29" s="209"/>
      <c r="F29" s="197"/>
      <c r="G29" s="9">
        <f>IF(ISBLANK(FixedOverhead_GreenhouseTable[Use Life (Years)]),0,PMT(AnnualInterestRate,FixedOverhead_GreenhouseTable[Use Life (Years)],-FixedOverhead_GreenhouseTable[Original Cost],FixedOverhead_GreenhouseTable[Salvage Value],0))</f>
        <v>0</v>
      </c>
      <c r="H29" s="209"/>
      <c r="I29" s="209"/>
      <c r="J29" s="209"/>
      <c r="K29" s="9">
        <f>FixedOverhead_GreenhouseTable[Capital Recovery]*(1-FixedOverhead_GreenhouseTable[Financed Portion])</f>
        <v>0</v>
      </c>
      <c r="L29" s="9">
        <f>FixedOverhead_GreenhouseTable[Insurance]+FixedOverhead_GreenhouseTable[Taxes &amp; Fees]+FixedOverhead_GreenhouseTable[Fixed Repairs]+(FixedOverhead_GreenhouseTable[Capital Recovery]*FixedOverhead_GreenhouseTable[Financed Portion])</f>
        <v>0</v>
      </c>
      <c r="N29" s="268"/>
    </row>
    <row r="30" spans="2:14" x14ac:dyDescent="0.25">
      <c r="B30" s="26" t="s">
        <v>22</v>
      </c>
      <c r="C30" s="9">
        <f>SUBTOTAL(109,FixedOverhead_GreenhouseTable[Original Cost])</f>
        <v>0</v>
      </c>
      <c r="D30" s="11"/>
      <c r="E30" s="170"/>
      <c r="F30" s="171"/>
      <c r="G30" s="9">
        <f>SUBTOTAL(109,FixedOverhead_GreenhouseTable[Capital Recovery])</f>
        <v>0</v>
      </c>
      <c r="H30" s="9">
        <f>SUBTOTAL(109,FixedOverhead_GreenhouseTable[Insurance])</f>
        <v>0</v>
      </c>
      <c r="I30" s="9">
        <f>SUBTOTAL(109,FixedOverhead_GreenhouseTable[Taxes &amp; Fees])</f>
        <v>0</v>
      </c>
      <c r="J30" s="9">
        <f>SUBTOTAL(109,FixedOverhead_GreenhouseTable[Fixed Repairs])</f>
        <v>0</v>
      </c>
      <c r="K30" s="9">
        <f>SUBTOTAL(109,FixedOverhead_GreenhouseTable[Total  Noncash Cost])</f>
        <v>0</v>
      </c>
      <c r="L30" s="9">
        <f>SUBTOTAL(109,FixedOverhead_GreenhouseTable[Total          Cash Cost])</f>
        <v>0</v>
      </c>
      <c r="N30" s="269"/>
    </row>
    <row r="31" spans="2:14" ht="15.75" thickBot="1" x14ac:dyDescent="0.3">
      <c r="N31" s="183"/>
    </row>
    <row r="32" spans="2:14" x14ac:dyDescent="0.25">
      <c r="B32" s="253" t="s">
        <v>20</v>
      </c>
      <c r="C32" s="254"/>
      <c r="D32" s="254"/>
      <c r="E32" s="254"/>
      <c r="F32" s="254"/>
      <c r="G32" s="254"/>
      <c r="H32" s="254"/>
      <c r="I32" s="254"/>
      <c r="J32" s="254"/>
      <c r="K32" s="254"/>
      <c r="L32" s="255"/>
      <c r="N32" s="267" t="s">
        <v>251</v>
      </c>
    </row>
    <row r="33" spans="2:14" x14ac:dyDescent="0.25">
      <c r="B33" s="5"/>
      <c r="C33" s="303"/>
      <c r="D33" s="304"/>
      <c r="E33" s="304"/>
      <c r="F33" s="305"/>
      <c r="G33" s="301" t="s">
        <v>16</v>
      </c>
      <c r="H33" s="301"/>
      <c r="I33" s="301"/>
      <c r="J33" s="301"/>
      <c r="K33" s="301"/>
      <c r="L33" s="301"/>
      <c r="N33" s="268"/>
    </row>
    <row r="34" spans="2:14" ht="45" x14ac:dyDescent="0.25">
      <c r="B34" s="7" t="s">
        <v>8</v>
      </c>
      <c r="C34" s="8" t="s">
        <v>17</v>
      </c>
      <c r="D34" s="8" t="s">
        <v>9</v>
      </c>
      <c r="E34" s="8" t="s">
        <v>10</v>
      </c>
      <c r="F34" s="8" t="s">
        <v>11</v>
      </c>
      <c r="G34" s="8" t="s">
        <v>12</v>
      </c>
      <c r="H34" s="8" t="s">
        <v>13</v>
      </c>
      <c r="I34" s="8" t="s">
        <v>14</v>
      </c>
      <c r="J34" s="8" t="s">
        <v>15</v>
      </c>
      <c r="K34" s="8" t="s">
        <v>18</v>
      </c>
      <c r="L34" s="8" t="s">
        <v>19</v>
      </c>
      <c r="N34" s="268"/>
    </row>
    <row r="35" spans="2:14" x14ac:dyDescent="0.25">
      <c r="B35" s="200"/>
      <c r="C35" s="209"/>
      <c r="D35" s="178"/>
      <c r="E35" s="209"/>
      <c r="F35" s="197"/>
      <c r="G35" s="9">
        <f>IF(ISBLANK(FixedOverhead_EquipmentTable[Use Life (Years)]),0,PMT(AnnualInterestRate,FixedOverhead_EquipmentTable[Use Life (Years)],-FixedOverhead_EquipmentTable[Original Cost],FixedOverhead_EquipmentTable[Salvage Value],0))</f>
        <v>0</v>
      </c>
      <c r="H35" s="209"/>
      <c r="I35" s="209"/>
      <c r="J35" s="209"/>
      <c r="K35" s="9">
        <f>FixedOverhead_EquipmentTable[Capital Recovery]*(1-FixedOverhead_EquipmentTable[Financed Portion])</f>
        <v>0</v>
      </c>
      <c r="L35" s="9">
        <f>FixedOverhead_EquipmentTable[Insurance]+FixedOverhead_EquipmentTable[Taxes &amp; Fees]+FixedOverhead_EquipmentTable[Fixed Repairs]+(FixedOverhead_EquipmentTable[Capital Recovery]*FixedOverhead_EquipmentTable[Financed Portion])</f>
        <v>0</v>
      </c>
      <c r="N35" s="268"/>
    </row>
    <row r="36" spans="2:14" x14ac:dyDescent="0.25">
      <c r="B36" s="210"/>
      <c r="C36" s="209"/>
      <c r="D36" s="178"/>
      <c r="E36" s="209"/>
      <c r="F36" s="197"/>
      <c r="G36" s="9">
        <f>IF(ISBLANK(FixedOverhead_EquipmentTable[Use Life (Years)]),0,PMT(AnnualInterestRate,FixedOverhead_EquipmentTable[Use Life (Years)],-FixedOverhead_EquipmentTable[Original Cost],FixedOverhead_EquipmentTable[Salvage Value],0))</f>
        <v>0</v>
      </c>
      <c r="H36" s="209"/>
      <c r="I36" s="209"/>
      <c r="J36" s="209"/>
      <c r="K36" s="9">
        <f>FixedOverhead_EquipmentTable[Capital Recovery]*(1-FixedOverhead_EquipmentTable[Financed Portion])</f>
        <v>0</v>
      </c>
      <c r="L36" s="9">
        <f>FixedOverhead_EquipmentTable[Insurance]+FixedOverhead_EquipmentTable[Taxes &amp; Fees]+FixedOverhead_EquipmentTable[Fixed Repairs]+(FixedOverhead_EquipmentTable[Capital Recovery]*FixedOverhead_EquipmentTable[Financed Portion])</f>
        <v>0</v>
      </c>
      <c r="N36" s="268"/>
    </row>
    <row r="37" spans="2:14" x14ac:dyDescent="0.25">
      <c r="B37" s="210"/>
      <c r="C37" s="209"/>
      <c r="D37" s="178"/>
      <c r="E37" s="209"/>
      <c r="F37" s="197"/>
      <c r="G37" s="9">
        <f>IF(ISBLANK(FixedOverhead_EquipmentTable[Use Life (Years)]),0,PMT(AnnualInterestRate,FixedOverhead_EquipmentTable[Use Life (Years)],-FixedOverhead_EquipmentTable[Original Cost],FixedOverhead_EquipmentTable[Salvage Value],0))</f>
        <v>0</v>
      </c>
      <c r="H37" s="209"/>
      <c r="I37" s="209"/>
      <c r="J37" s="209"/>
      <c r="K37" s="9">
        <f>FixedOverhead_EquipmentTable[Capital Recovery]*(1-FixedOverhead_EquipmentTable[Financed Portion])</f>
        <v>0</v>
      </c>
      <c r="L37" s="9">
        <f>FixedOverhead_EquipmentTable[Insurance]+FixedOverhead_EquipmentTable[Taxes &amp; Fees]+FixedOverhead_EquipmentTable[Fixed Repairs]+(FixedOverhead_EquipmentTable[Capital Recovery]*FixedOverhead_EquipmentTable[Financed Portion])</f>
        <v>0</v>
      </c>
      <c r="N37" s="268"/>
    </row>
    <row r="38" spans="2:14" x14ac:dyDescent="0.25">
      <c r="B38" s="210"/>
      <c r="C38" s="209"/>
      <c r="D38" s="178"/>
      <c r="E38" s="209"/>
      <c r="F38" s="197"/>
      <c r="G38" s="9">
        <f>IF(ISBLANK(FixedOverhead_EquipmentTable[Use Life (Years)]),0,PMT(AnnualInterestRate,FixedOverhead_EquipmentTable[Use Life (Years)],-FixedOverhead_EquipmentTable[Original Cost],FixedOverhead_EquipmentTable[Salvage Value],0))</f>
        <v>0</v>
      </c>
      <c r="H38" s="209"/>
      <c r="I38" s="209"/>
      <c r="J38" s="209"/>
      <c r="K38" s="9">
        <f>FixedOverhead_EquipmentTable[Capital Recovery]*(1-FixedOverhead_EquipmentTable[Financed Portion])</f>
        <v>0</v>
      </c>
      <c r="L38" s="9">
        <f>FixedOverhead_EquipmentTable[Insurance]+FixedOverhead_EquipmentTable[Taxes &amp; Fees]+FixedOverhead_EquipmentTable[Fixed Repairs]+(FixedOverhead_EquipmentTable[Capital Recovery]*FixedOverhead_EquipmentTable[Financed Portion])</f>
        <v>0</v>
      </c>
      <c r="N38" s="268"/>
    </row>
    <row r="39" spans="2:14" x14ac:dyDescent="0.25">
      <c r="B39" s="210"/>
      <c r="C39" s="209"/>
      <c r="D39" s="178"/>
      <c r="E39" s="209"/>
      <c r="F39" s="197"/>
      <c r="G39" s="9">
        <f>IF(ISBLANK(FixedOverhead_EquipmentTable[Use Life (Years)]),0,PMT(AnnualInterestRate,FixedOverhead_EquipmentTable[Use Life (Years)],-FixedOverhead_EquipmentTable[Original Cost],FixedOverhead_EquipmentTable[Salvage Value],0))</f>
        <v>0</v>
      </c>
      <c r="H39" s="209"/>
      <c r="I39" s="209"/>
      <c r="J39" s="209"/>
      <c r="K39" s="9">
        <f>FixedOverhead_EquipmentTable[Capital Recovery]*(1-FixedOverhead_EquipmentTable[Financed Portion])</f>
        <v>0</v>
      </c>
      <c r="L39" s="9">
        <f>FixedOverhead_EquipmentTable[Insurance]+FixedOverhead_EquipmentTable[Taxes &amp; Fees]+FixedOverhead_EquipmentTable[Fixed Repairs]+(FixedOverhead_EquipmentTable[Capital Recovery]*FixedOverhead_EquipmentTable[Financed Portion])</f>
        <v>0</v>
      </c>
      <c r="N39" s="268"/>
    </row>
    <row r="40" spans="2:14" x14ac:dyDescent="0.25">
      <c r="B40" s="210"/>
      <c r="C40" s="209"/>
      <c r="D40" s="178"/>
      <c r="E40" s="209"/>
      <c r="F40" s="197"/>
      <c r="G40" s="9">
        <f>IF(ISBLANK(FixedOverhead_EquipmentTable[Use Life (Years)]),0,PMT(AnnualInterestRate,FixedOverhead_EquipmentTable[Use Life (Years)],-FixedOverhead_EquipmentTable[Original Cost],FixedOverhead_EquipmentTable[Salvage Value],0))</f>
        <v>0</v>
      </c>
      <c r="H40" s="209"/>
      <c r="I40" s="209"/>
      <c r="J40" s="209"/>
      <c r="K40" s="9">
        <f>FixedOverhead_EquipmentTable[Capital Recovery]*(1-FixedOverhead_EquipmentTable[Financed Portion])</f>
        <v>0</v>
      </c>
      <c r="L40" s="9">
        <f>FixedOverhead_EquipmentTable[Insurance]+FixedOverhead_EquipmentTable[Taxes &amp; Fees]+FixedOverhead_EquipmentTable[Fixed Repairs]+(FixedOverhead_EquipmentTable[Capital Recovery]*FixedOverhead_EquipmentTable[Financed Portion])</f>
        <v>0</v>
      </c>
      <c r="N40" s="268"/>
    </row>
    <row r="41" spans="2:14" x14ac:dyDescent="0.25">
      <c r="B41" s="210"/>
      <c r="C41" s="209"/>
      <c r="D41" s="178"/>
      <c r="E41" s="209"/>
      <c r="F41" s="197"/>
      <c r="G41" s="9">
        <f>IF(ISBLANK(FixedOverhead_EquipmentTable[Use Life (Years)]),0,PMT(AnnualInterestRate,FixedOverhead_EquipmentTable[Use Life (Years)],-FixedOverhead_EquipmentTable[Original Cost],FixedOverhead_EquipmentTable[Salvage Value],0))</f>
        <v>0</v>
      </c>
      <c r="H41" s="209"/>
      <c r="I41" s="209"/>
      <c r="J41" s="209"/>
      <c r="K41" s="9">
        <f>FixedOverhead_EquipmentTable[Capital Recovery]*(1-FixedOverhead_EquipmentTable[Financed Portion])</f>
        <v>0</v>
      </c>
      <c r="L41" s="9">
        <f>FixedOverhead_EquipmentTable[Insurance]+FixedOverhead_EquipmentTable[Taxes &amp; Fees]+FixedOverhead_EquipmentTable[Fixed Repairs]+(FixedOverhead_EquipmentTable[Capital Recovery]*FixedOverhead_EquipmentTable[Financed Portion])</f>
        <v>0</v>
      </c>
      <c r="N41" s="268"/>
    </row>
    <row r="42" spans="2:14" x14ac:dyDescent="0.25">
      <c r="B42" s="210"/>
      <c r="C42" s="209"/>
      <c r="D42" s="178"/>
      <c r="E42" s="209"/>
      <c r="F42" s="197"/>
      <c r="G42" s="9">
        <f>IF(ISBLANK(FixedOverhead_EquipmentTable[Use Life (Years)]),0,PMT(AnnualInterestRate,FixedOverhead_EquipmentTable[Use Life (Years)],-FixedOverhead_EquipmentTable[Original Cost],FixedOverhead_EquipmentTable[Salvage Value],0))</f>
        <v>0</v>
      </c>
      <c r="H42" s="209"/>
      <c r="I42" s="209"/>
      <c r="J42" s="209"/>
      <c r="K42" s="9">
        <f>FixedOverhead_EquipmentTable[Capital Recovery]*(1-FixedOverhead_EquipmentTable[Financed Portion])</f>
        <v>0</v>
      </c>
      <c r="L42" s="9">
        <f>FixedOverhead_EquipmentTable[Insurance]+FixedOverhead_EquipmentTable[Taxes &amp; Fees]+FixedOverhead_EquipmentTable[Fixed Repairs]+(FixedOverhead_EquipmentTable[Capital Recovery]*FixedOverhead_EquipmentTable[Financed Portion])</f>
        <v>0</v>
      </c>
      <c r="N42" s="268"/>
    </row>
    <row r="43" spans="2:14" x14ac:dyDescent="0.25">
      <c r="B43" s="210"/>
      <c r="C43" s="209"/>
      <c r="D43" s="178"/>
      <c r="E43" s="209"/>
      <c r="F43" s="197"/>
      <c r="G43" s="9">
        <f>IF(ISBLANK(FixedOverhead_EquipmentTable[Use Life (Years)]),0,PMT(AnnualInterestRate,FixedOverhead_EquipmentTable[Use Life (Years)],-FixedOverhead_EquipmentTable[Original Cost],FixedOverhead_EquipmentTable[Salvage Value],0))</f>
        <v>0</v>
      </c>
      <c r="H43" s="209"/>
      <c r="I43" s="209"/>
      <c r="J43" s="209"/>
      <c r="K43" s="9">
        <f>FixedOverhead_EquipmentTable[Capital Recovery]*(1-FixedOverhead_EquipmentTable[Financed Portion])</f>
        <v>0</v>
      </c>
      <c r="L43" s="9">
        <f>FixedOverhead_EquipmentTable[Insurance]+FixedOverhead_EquipmentTable[Taxes &amp; Fees]+FixedOverhead_EquipmentTable[Fixed Repairs]+(FixedOverhead_EquipmentTable[Capital Recovery]*FixedOverhead_EquipmentTable[Financed Portion])</f>
        <v>0</v>
      </c>
      <c r="N43" s="268"/>
    </row>
    <row r="44" spans="2:14" x14ac:dyDescent="0.25">
      <c r="B44" s="210"/>
      <c r="C44" s="209"/>
      <c r="D44" s="178"/>
      <c r="E44" s="209"/>
      <c r="F44" s="197"/>
      <c r="G44" s="9">
        <f>IF(ISBLANK(FixedOverhead_EquipmentTable[Use Life (Years)]),0,PMT(AnnualInterestRate,FixedOverhead_EquipmentTable[Use Life (Years)],-FixedOverhead_EquipmentTable[Original Cost],FixedOverhead_EquipmentTable[Salvage Value],0))</f>
        <v>0</v>
      </c>
      <c r="H44" s="209"/>
      <c r="I44" s="209"/>
      <c r="J44" s="209"/>
      <c r="K44" s="9">
        <f>FixedOverhead_EquipmentTable[Capital Recovery]*(1-FixedOverhead_EquipmentTable[Financed Portion])</f>
        <v>0</v>
      </c>
      <c r="L44" s="9">
        <f>FixedOverhead_EquipmentTable[Insurance]+FixedOverhead_EquipmentTable[Taxes &amp; Fees]+FixedOverhead_EquipmentTable[Fixed Repairs]+(FixedOverhead_EquipmentTable[Capital Recovery]*FixedOverhead_EquipmentTable[Financed Portion])</f>
        <v>0</v>
      </c>
      <c r="N44" s="268"/>
    </row>
    <row r="45" spans="2:14" x14ac:dyDescent="0.25">
      <c r="B45" s="210"/>
      <c r="C45" s="209"/>
      <c r="D45" s="178"/>
      <c r="E45" s="209"/>
      <c r="F45" s="197"/>
      <c r="G45" s="9">
        <f>IF(ISBLANK(FixedOverhead_EquipmentTable[Use Life (Years)]),0,PMT(AnnualInterestRate,FixedOverhead_EquipmentTable[Use Life (Years)],-FixedOverhead_EquipmentTable[Original Cost],FixedOverhead_EquipmentTable[Salvage Value],0))</f>
        <v>0</v>
      </c>
      <c r="H45" s="209"/>
      <c r="I45" s="209"/>
      <c r="J45" s="209"/>
      <c r="K45" s="9">
        <f>FixedOverhead_EquipmentTable[Capital Recovery]*(1-FixedOverhead_EquipmentTable[Financed Portion])</f>
        <v>0</v>
      </c>
      <c r="L45" s="9">
        <f>FixedOverhead_EquipmentTable[Insurance]+FixedOverhead_EquipmentTable[Taxes &amp; Fees]+FixedOverhead_EquipmentTable[Fixed Repairs]+(FixedOverhead_EquipmentTable[Capital Recovery]*FixedOverhead_EquipmentTable[Financed Portion])</f>
        <v>0</v>
      </c>
      <c r="N45" s="268"/>
    </row>
    <row r="46" spans="2:14" x14ac:dyDescent="0.25">
      <c r="B46" s="210"/>
      <c r="C46" s="209"/>
      <c r="D46" s="178"/>
      <c r="E46" s="209"/>
      <c r="F46" s="197"/>
      <c r="G46" s="9">
        <f>IF(ISBLANK(FixedOverhead_EquipmentTable[Use Life (Years)]),0,PMT(AnnualInterestRate,FixedOverhead_EquipmentTable[Use Life (Years)],-FixedOverhead_EquipmentTable[Original Cost],FixedOverhead_EquipmentTable[Salvage Value],0))</f>
        <v>0</v>
      </c>
      <c r="H46" s="209"/>
      <c r="I46" s="209"/>
      <c r="J46" s="209"/>
      <c r="K46" s="9">
        <f>FixedOverhead_EquipmentTable[Capital Recovery]*(1-FixedOverhead_EquipmentTable[Financed Portion])</f>
        <v>0</v>
      </c>
      <c r="L46" s="9">
        <f>FixedOverhead_EquipmentTable[Insurance]+FixedOverhead_EquipmentTable[Taxes &amp; Fees]+FixedOverhead_EquipmentTable[Fixed Repairs]+(FixedOverhead_EquipmentTable[Capital Recovery]*FixedOverhead_EquipmentTable[Financed Portion])</f>
        <v>0</v>
      </c>
      <c r="N46" s="268"/>
    </row>
    <row r="47" spans="2:14" x14ac:dyDescent="0.25">
      <c r="B47" s="210"/>
      <c r="C47" s="209"/>
      <c r="D47" s="178"/>
      <c r="E47" s="209"/>
      <c r="F47" s="197"/>
      <c r="G47" s="9">
        <f>IF(ISBLANK(FixedOverhead_EquipmentTable[Use Life (Years)]),0,PMT(AnnualInterestRate,FixedOverhead_EquipmentTable[Use Life (Years)],-FixedOverhead_EquipmentTable[Original Cost],FixedOverhead_EquipmentTable[Salvage Value],0))</f>
        <v>0</v>
      </c>
      <c r="H47" s="209"/>
      <c r="I47" s="209"/>
      <c r="J47" s="209"/>
      <c r="K47" s="9">
        <f>FixedOverhead_EquipmentTable[Capital Recovery]*(1-FixedOverhead_EquipmentTable[Financed Portion])</f>
        <v>0</v>
      </c>
      <c r="L47" s="9">
        <f>FixedOverhead_EquipmentTable[Insurance]+FixedOverhead_EquipmentTable[Taxes &amp; Fees]+FixedOverhead_EquipmentTable[Fixed Repairs]+(FixedOverhead_EquipmentTable[Capital Recovery]*FixedOverhead_EquipmentTable[Financed Portion])</f>
        <v>0</v>
      </c>
      <c r="N47" s="268"/>
    </row>
    <row r="48" spans="2:14" x14ac:dyDescent="0.25">
      <c r="B48" s="210"/>
      <c r="C48" s="209"/>
      <c r="D48" s="178"/>
      <c r="E48" s="209"/>
      <c r="F48" s="197"/>
      <c r="G48" s="9">
        <f>IF(ISBLANK(FixedOverhead_EquipmentTable[Use Life (Years)]),0,PMT(AnnualInterestRate,FixedOverhead_EquipmentTable[Use Life (Years)],-FixedOverhead_EquipmentTable[Original Cost],FixedOverhead_EquipmentTable[Salvage Value],0))</f>
        <v>0</v>
      </c>
      <c r="H48" s="209"/>
      <c r="I48" s="209"/>
      <c r="J48" s="209"/>
      <c r="K48" s="9">
        <f>FixedOverhead_EquipmentTable[Capital Recovery]*(1-FixedOverhead_EquipmentTable[Financed Portion])</f>
        <v>0</v>
      </c>
      <c r="L48" s="9">
        <f>FixedOverhead_EquipmentTable[Insurance]+FixedOverhead_EquipmentTable[Taxes &amp; Fees]+FixedOverhead_EquipmentTable[Fixed Repairs]+(FixedOverhead_EquipmentTable[Capital Recovery]*FixedOverhead_EquipmentTable[Financed Portion])</f>
        <v>0</v>
      </c>
      <c r="N48" s="268"/>
    </row>
    <row r="49" spans="2:14" x14ac:dyDescent="0.25">
      <c r="B49" s="210"/>
      <c r="C49" s="209"/>
      <c r="D49" s="178"/>
      <c r="E49" s="209"/>
      <c r="F49" s="197"/>
      <c r="G49" s="9">
        <f>IF(ISBLANK(FixedOverhead_EquipmentTable[Use Life (Years)]),0,PMT(AnnualInterestRate,FixedOverhead_EquipmentTable[Use Life (Years)],-FixedOverhead_EquipmentTable[Original Cost],FixedOverhead_EquipmentTable[Salvage Value],0))</f>
        <v>0</v>
      </c>
      <c r="H49" s="209"/>
      <c r="I49" s="209"/>
      <c r="J49" s="209"/>
      <c r="K49" s="9">
        <f>FixedOverhead_EquipmentTable[Capital Recovery]*(1-FixedOverhead_EquipmentTable[Financed Portion])</f>
        <v>0</v>
      </c>
      <c r="L49" s="9">
        <f>FixedOverhead_EquipmentTable[Insurance]+FixedOverhead_EquipmentTable[Taxes &amp; Fees]+FixedOverhead_EquipmentTable[Fixed Repairs]+(FixedOverhead_EquipmentTable[Capital Recovery]*FixedOverhead_EquipmentTable[Financed Portion])</f>
        <v>0</v>
      </c>
      <c r="N49" s="268"/>
    </row>
    <row r="50" spans="2:14" x14ac:dyDescent="0.25">
      <c r="B50" s="210"/>
      <c r="C50" s="209"/>
      <c r="D50" s="178"/>
      <c r="E50" s="209"/>
      <c r="F50" s="197"/>
      <c r="G50" s="9">
        <f>IF(ISBLANK(FixedOverhead_EquipmentTable[Use Life (Years)]),0,PMT(AnnualInterestRate,FixedOverhead_EquipmentTable[Use Life (Years)],-FixedOverhead_EquipmentTable[Original Cost],FixedOverhead_EquipmentTable[Salvage Value],0))</f>
        <v>0</v>
      </c>
      <c r="H50" s="209"/>
      <c r="I50" s="209"/>
      <c r="J50" s="209"/>
      <c r="K50" s="9">
        <f>FixedOverhead_EquipmentTable[Capital Recovery]*(1-FixedOverhead_EquipmentTable[Financed Portion])</f>
        <v>0</v>
      </c>
      <c r="L50" s="9">
        <f>FixedOverhead_EquipmentTable[Insurance]+FixedOverhead_EquipmentTable[Taxes &amp; Fees]+FixedOverhead_EquipmentTable[Fixed Repairs]+(FixedOverhead_EquipmentTable[Capital Recovery]*FixedOverhead_EquipmentTable[Financed Portion])</f>
        <v>0</v>
      </c>
      <c r="N50" s="268"/>
    </row>
    <row r="51" spans="2:14" x14ac:dyDescent="0.25">
      <c r="B51" s="210"/>
      <c r="C51" s="209"/>
      <c r="D51" s="178"/>
      <c r="E51" s="209"/>
      <c r="F51" s="197"/>
      <c r="G51" s="9">
        <f>IF(ISBLANK(FixedOverhead_EquipmentTable[Use Life (Years)]),0,PMT(AnnualInterestRate,FixedOverhead_EquipmentTable[Use Life (Years)],-FixedOverhead_EquipmentTable[Original Cost],FixedOverhead_EquipmentTable[Salvage Value],0))</f>
        <v>0</v>
      </c>
      <c r="H51" s="209"/>
      <c r="I51" s="209"/>
      <c r="J51" s="209"/>
      <c r="K51" s="9">
        <f>FixedOverhead_EquipmentTable[Capital Recovery]*(1-FixedOverhead_EquipmentTable[Financed Portion])</f>
        <v>0</v>
      </c>
      <c r="L51" s="9">
        <f>FixedOverhead_EquipmentTable[Insurance]+FixedOverhead_EquipmentTable[Taxes &amp; Fees]+FixedOverhead_EquipmentTable[Fixed Repairs]+(FixedOverhead_EquipmentTable[Capital Recovery]*FixedOverhead_EquipmentTable[Financed Portion])</f>
        <v>0</v>
      </c>
      <c r="N51" s="268"/>
    </row>
    <row r="52" spans="2:14" x14ac:dyDescent="0.25">
      <c r="B52" s="210"/>
      <c r="C52" s="209"/>
      <c r="D52" s="178"/>
      <c r="E52" s="209"/>
      <c r="F52" s="197"/>
      <c r="G52" s="9">
        <f>IF(ISBLANK(FixedOverhead_EquipmentTable[Use Life (Years)]),0,PMT(AnnualInterestRate,FixedOverhead_EquipmentTable[Use Life (Years)],-FixedOverhead_EquipmentTable[Original Cost],FixedOverhead_EquipmentTable[Salvage Value],0))</f>
        <v>0</v>
      </c>
      <c r="H52" s="209"/>
      <c r="I52" s="209"/>
      <c r="J52" s="209"/>
      <c r="K52" s="9">
        <f>FixedOverhead_EquipmentTable[Capital Recovery]*(1-FixedOverhead_EquipmentTable[Financed Portion])</f>
        <v>0</v>
      </c>
      <c r="L52" s="9">
        <f>FixedOverhead_EquipmentTable[Insurance]+FixedOverhead_EquipmentTable[Taxes &amp; Fees]+FixedOverhead_EquipmentTable[Fixed Repairs]+(FixedOverhead_EquipmentTable[Capital Recovery]*FixedOverhead_EquipmentTable[Financed Portion])</f>
        <v>0</v>
      </c>
      <c r="N52" s="268"/>
    </row>
    <row r="53" spans="2:14" x14ac:dyDescent="0.25">
      <c r="B53" s="210"/>
      <c r="C53" s="209"/>
      <c r="D53" s="178"/>
      <c r="E53" s="209"/>
      <c r="F53" s="197"/>
      <c r="G53" s="9">
        <f>IF(ISBLANK(FixedOverhead_EquipmentTable[Use Life (Years)]),0,PMT(AnnualInterestRate,FixedOverhead_EquipmentTable[Use Life (Years)],-FixedOverhead_EquipmentTable[Original Cost],FixedOverhead_EquipmentTable[Salvage Value],0))</f>
        <v>0</v>
      </c>
      <c r="H53" s="209"/>
      <c r="I53" s="209"/>
      <c r="J53" s="209"/>
      <c r="K53" s="9">
        <f>FixedOverhead_EquipmentTable[Capital Recovery]*(1-FixedOverhead_EquipmentTable[Financed Portion])</f>
        <v>0</v>
      </c>
      <c r="L53" s="9">
        <f>FixedOverhead_EquipmentTable[Insurance]+FixedOverhead_EquipmentTable[Taxes &amp; Fees]+FixedOverhead_EquipmentTable[Fixed Repairs]+(FixedOverhead_EquipmentTable[Capital Recovery]*FixedOverhead_EquipmentTable[Financed Portion])</f>
        <v>0</v>
      </c>
      <c r="N53" s="268"/>
    </row>
    <row r="54" spans="2:14" x14ac:dyDescent="0.25">
      <c r="B54" s="210"/>
      <c r="C54" s="209"/>
      <c r="D54" s="178"/>
      <c r="E54" s="209"/>
      <c r="F54" s="197"/>
      <c r="G54" s="9">
        <f>IF(ISBLANK(FixedOverhead_EquipmentTable[Use Life (Years)]),0,PMT(AnnualInterestRate,FixedOverhead_EquipmentTable[Use Life (Years)],-FixedOverhead_EquipmentTable[Original Cost],FixedOverhead_EquipmentTable[Salvage Value],0))</f>
        <v>0</v>
      </c>
      <c r="H54" s="209"/>
      <c r="I54" s="209"/>
      <c r="J54" s="209"/>
      <c r="K54" s="9">
        <f>FixedOverhead_EquipmentTable[Capital Recovery]*(1-FixedOverhead_EquipmentTable[Financed Portion])</f>
        <v>0</v>
      </c>
      <c r="L54" s="9">
        <f>FixedOverhead_EquipmentTable[Insurance]+FixedOverhead_EquipmentTable[Taxes &amp; Fees]+FixedOverhead_EquipmentTable[Fixed Repairs]+(FixedOverhead_EquipmentTable[Capital Recovery]*FixedOverhead_EquipmentTable[Financed Portion])</f>
        <v>0</v>
      </c>
      <c r="N54" s="268"/>
    </row>
    <row r="55" spans="2:14" x14ac:dyDescent="0.25">
      <c r="B55" s="210"/>
      <c r="C55" s="209"/>
      <c r="D55" s="178"/>
      <c r="E55" s="209"/>
      <c r="F55" s="197"/>
      <c r="G55" s="9">
        <f>IF(ISBLANK(FixedOverhead_EquipmentTable[Use Life (Years)]),0,PMT(AnnualInterestRate,FixedOverhead_EquipmentTable[Use Life (Years)],-FixedOverhead_EquipmentTable[Original Cost],FixedOverhead_EquipmentTable[Salvage Value],0))</f>
        <v>0</v>
      </c>
      <c r="H55" s="209"/>
      <c r="I55" s="209"/>
      <c r="J55" s="209"/>
      <c r="K55" s="9">
        <f>FixedOverhead_EquipmentTable[Capital Recovery]*(1-FixedOverhead_EquipmentTable[Financed Portion])</f>
        <v>0</v>
      </c>
      <c r="L55" s="9">
        <f>FixedOverhead_EquipmentTable[Insurance]+FixedOverhead_EquipmentTable[Taxes &amp; Fees]+FixedOverhead_EquipmentTable[Fixed Repairs]+(FixedOverhead_EquipmentTable[Capital Recovery]*FixedOverhead_EquipmentTable[Financed Portion])</f>
        <v>0</v>
      </c>
      <c r="N55" s="268"/>
    </row>
    <row r="56" spans="2:14" x14ac:dyDescent="0.25">
      <c r="B56" s="210"/>
      <c r="C56" s="209"/>
      <c r="D56" s="178"/>
      <c r="E56" s="209"/>
      <c r="F56" s="197"/>
      <c r="G56" s="9">
        <f>IF(ISBLANK(FixedOverhead_EquipmentTable[Use Life (Years)]),0,PMT(AnnualInterestRate,FixedOverhead_EquipmentTable[Use Life (Years)],-FixedOverhead_EquipmentTable[Original Cost],FixedOverhead_EquipmentTable[Salvage Value],0))</f>
        <v>0</v>
      </c>
      <c r="H56" s="209"/>
      <c r="I56" s="209"/>
      <c r="J56" s="209"/>
      <c r="K56" s="9">
        <f>FixedOverhead_EquipmentTable[Capital Recovery]*(1-FixedOverhead_EquipmentTable[Financed Portion])</f>
        <v>0</v>
      </c>
      <c r="L56" s="9">
        <f>FixedOverhead_EquipmentTable[Insurance]+FixedOverhead_EquipmentTable[Taxes &amp; Fees]+FixedOverhead_EquipmentTable[Fixed Repairs]+(FixedOverhead_EquipmentTable[Capital Recovery]*FixedOverhead_EquipmentTable[Financed Portion])</f>
        <v>0</v>
      </c>
      <c r="N56" s="268"/>
    </row>
    <row r="57" spans="2:14" x14ac:dyDescent="0.25">
      <c r="B57" s="210"/>
      <c r="C57" s="209"/>
      <c r="D57" s="178"/>
      <c r="E57" s="209"/>
      <c r="F57" s="197"/>
      <c r="G57" s="9">
        <f>IF(ISBLANK(FixedOverhead_EquipmentTable[Use Life (Years)]),0,PMT(AnnualInterestRate,FixedOverhead_EquipmentTable[Use Life (Years)],-FixedOverhead_EquipmentTable[Original Cost],FixedOverhead_EquipmentTable[Salvage Value],0))</f>
        <v>0</v>
      </c>
      <c r="H57" s="209"/>
      <c r="I57" s="209"/>
      <c r="J57" s="209"/>
      <c r="K57" s="9">
        <f>FixedOverhead_EquipmentTable[Capital Recovery]*(1-FixedOverhead_EquipmentTable[Financed Portion])</f>
        <v>0</v>
      </c>
      <c r="L57" s="9">
        <f>FixedOverhead_EquipmentTable[Insurance]+FixedOverhead_EquipmentTable[Taxes &amp; Fees]+FixedOverhead_EquipmentTable[Fixed Repairs]+(FixedOverhead_EquipmentTable[Capital Recovery]*FixedOverhead_EquipmentTable[Financed Portion])</f>
        <v>0</v>
      </c>
      <c r="N57" s="268"/>
    </row>
    <row r="58" spans="2:14" x14ac:dyDescent="0.25">
      <c r="B58" s="210"/>
      <c r="C58" s="209"/>
      <c r="D58" s="178"/>
      <c r="E58" s="209"/>
      <c r="F58" s="197"/>
      <c r="G58" s="9">
        <f>IF(ISBLANK(FixedOverhead_EquipmentTable[Use Life (Years)]),0,PMT(AnnualInterestRate,FixedOverhead_EquipmentTable[Use Life (Years)],-FixedOverhead_EquipmentTable[Original Cost],FixedOverhead_EquipmentTable[Salvage Value],0))</f>
        <v>0</v>
      </c>
      <c r="H58" s="209"/>
      <c r="I58" s="209"/>
      <c r="J58" s="209"/>
      <c r="K58" s="9">
        <f>FixedOverhead_EquipmentTable[Capital Recovery]*(1-FixedOverhead_EquipmentTable[Financed Portion])</f>
        <v>0</v>
      </c>
      <c r="L58" s="9">
        <f>FixedOverhead_EquipmentTable[Insurance]+FixedOverhead_EquipmentTable[Taxes &amp; Fees]+FixedOverhead_EquipmentTable[Fixed Repairs]+(FixedOverhead_EquipmentTable[Capital Recovery]*FixedOverhead_EquipmentTable[Financed Portion])</f>
        <v>0</v>
      </c>
      <c r="N58" s="268"/>
    </row>
    <row r="59" spans="2:14" x14ac:dyDescent="0.25">
      <c r="B59" s="210"/>
      <c r="C59" s="209"/>
      <c r="D59" s="178"/>
      <c r="E59" s="209"/>
      <c r="F59" s="197"/>
      <c r="G59" s="9">
        <f>IF(ISBLANK(FixedOverhead_EquipmentTable[Use Life (Years)]),0,PMT(AnnualInterestRate,FixedOverhead_EquipmentTable[Use Life (Years)],-FixedOverhead_EquipmentTable[Original Cost],FixedOverhead_EquipmentTable[Salvage Value],0))</f>
        <v>0</v>
      </c>
      <c r="H59" s="209"/>
      <c r="I59" s="209"/>
      <c r="J59" s="209"/>
      <c r="K59" s="9">
        <f>FixedOverhead_EquipmentTable[Capital Recovery]*(1-FixedOverhead_EquipmentTable[Financed Portion])</f>
        <v>0</v>
      </c>
      <c r="L59" s="9">
        <f>FixedOverhead_EquipmentTable[Insurance]+FixedOverhead_EquipmentTable[Taxes &amp; Fees]+FixedOverhead_EquipmentTable[Fixed Repairs]+(FixedOverhead_EquipmentTable[Capital Recovery]*FixedOverhead_EquipmentTable[Financed Portion])</f>
        <v>0</v>
      </c>
      <c r="N59" s="268"/>
    </row>
    <row r="60" spans="2:14" x14ac:dyDescent="0.25">
      <c r="B60" s="211"/>
      <c r="C60" s="209"/>
      <c r="D60" s="178"/>
      <c r="E60" s="209"/>
      <c r="F60" s="197"/>
      <c r="G60" s="9">
        <f>IF(ISBLANK(FixedOverhead_EquipmentTable[Use Life (Years)]),0,PMT(AnnualInterestRate,FixedOverhead_EquipmentTable[Use Life (Years)],-FixedOverhead_EquipmentTable[Original Cost],FixedOverhead_EquipmentTable[Salvage Value],0))</f>
        <v>0</v>
      </c>
      <c r="H60" s="209"/>
      <c r="I60" s="209"/>
      <c r="J60" s="209"/>
      <c r="K60" s="9">
        <f>FixedOverhead_EquipmentTable[Capital Recovery]*(1-FixedOverhead_EquipmentTable[Financed Portion])</f>
        <v>0</v>
      </c>
      <c r="L60" s="9">
        <f>FixedOverhead_EquipmentTable[Insurance]+FixedOverhead_EquipmentTable[Taxes &amp; Fees]+FixedOverhead_EquipmentTable[Fixed Repairs]+(FixedOverhead_EquipmentTable[Capital Recovery]*FixedOverhead_EquipmentTable[Financed Portion])</f>
        <v>0</v>
      </c>
      <c r="N60" s="268"/>
    </row>
    <row r="61" spans="2:14" x14ac:dyDescent="0.25">
      <c r="B61" s="26" t="s">
        <v>22</v>
      </c>
      <c r="C61" s="9">
        <f>SUBTOTAL(109,FixedOverhead_EquipmentTable[Original Cost])</f>
        <v>0</v>
      </c>
      <c r="D61" s="11"/>
      <c r="E61" s="130"/>
      <c r="F61" s="131"/>
      <c r="G61" s="9">
        <f>SUBTOTAL(109,FixedOverhead_EquipmentTable[Capital Recovery])</f>
        <v>0</v>
      </c>
      <c r="H61" s="9">
        <f>SUBTOTAL(109,FixedOverhead_EquipmentTable[Insurance])</f>
        <v>0</v>
      </c>
      <c r="I61" s="9">
        <f>SUBTOTAL(109,FixedOverhead_EquipmentTable[Taxes &amp; Fees])</f>
        <v>0</v>
      </c>
      <c r="J61" s="9">
        <f>SUBTOTAL(109,FixedOverhead_EquipmentTable[Fixed Repairs])</f>
        <v>0</v>
      </c>
      <c r="K61" s="9">
        <f>SUBTOTAL(109,FixedOverhead_EquipmentTable[Total  Noncash Cost])</f>
        <v>0</v>
      </c>
      <c r="L61" s="9">
        <f>SUBTOTAL(109,FixedOverhead_EquipmentTable[Total          Cash Cost])</f>
        <v>0</v>
      </c>
      <c r="N61" s="269"/>
    </row>
    <row r="62" spans="2:14" ht="15.75" thickBot="1" x14ac:dyDescent="0.3">
      <c r="B62" s="2"/>
      <c r="N62" s="183"/>
    </row>
    <row r="63" spans="2:14" x14ac:dyDescent="0.25">
      <c r="B63" s="253" t="s">
        <v>4</v>
      </c>
      <c r="C63" s="254"/>
      <c r="D63" s="254"/>
      <c r="E63" s="254"/>
      <c r="F63" s="254"/>
      <c r="G63" s="254"/>
      <c r="H63" s="254"/>
      <c r="I63" s="254"/>
      <c r="J63" s="254"/>
      <c r="K63" s="254"/>
      <c r="L63" s="255"/>
      <c r="N63" s="267" t="s">
        <v>252</v>
      </c>
    </row>
    <row r="64" spans="2:14" x14ac:dyDescent="0.25">
      <c r="B64" s="300"/>
      <c r="C64" s="300"/>
      <c r="D64" s="300"/>
      <c r="E64" s="300"/>
      <c r="F64" s="300"/>
      <c r="G64" s="300"/>
      <c r="H64" s="300"/>
      <c r="I64" s="300"/>
      <c r="J64" s="300"/>
      <c r="K64" s="298" t="s">
        <v>21</v>
      </c>
      <c r="L64" s="299"/>
      <c r="N64" s="268"/>
    </row>
    <row r="65" spans="2:14" ht="45" x14ac:dyDescent="0.25">
      <c r="B65" s="25" t="s">
        <v>8</v>
      </c>
      <c r="C65" s="14" t="s">
        <v>23</v>
      </c>
      <c r="D65" s="14" t="s">
        <v>24</v>
      </c>
      <c r="E65" s="14" t="s">
        <v>25</v>
      </c>
      <c r="F65" s="14" t="s">
        <v>26</v>
      </c>
      <c r="G65" s="14" t="s">
        <v>27</v>
      </c>
      <c r="H65" s="14" t="s">
        <v>28</v>
      </c>
      <c r="I65" s="14" t="s">
        <v>29</v>
      </c>
      <c r="J65" s="14" t="s">
        <v>30</v>
      </c>
      <c r="K65" s="4" t="s">
        <v>18</v>
      </c>
      <c r="L65" s="8" t="s">
        <v>19</v>
      </c>
      <c r="N65" s="268"/>
    </row>
    <row r="66" spans="2:14" x14ac:dyDescent="0.25">
      <c r="B66" s="212"/>
      <c r="C66" s="213"/>
      <c r="D66" s="213"/>
      <c r="E66" s="213"/>
      <c r="F66" s="213"/>
      <c r="G66" s="213"/>
      <c r="H66" s="213"/>
      <c r="I66" s="213"/>
      <c r="J66" s="213"/>
      <c r="K66" s="209"/>
      <c r="L66" s="209"/>
      <c r="N66" s="268"/>
    </row>
    <row r="67" spans="2:14" x14ac:dyDescent="0.25">
      <c r="B67" s="212"/>
      <c r="C67" s="213"/>
      <c r="D67" s="213"/>
      <c r="E67" s="213"/>
      <c r="F67" s="213"/>
      <c r="G67" s="213"/>
      <c r="H67" s="213"/>
      <c r="I67" s="213"/>
      <c r="J67" s="213"/>
      <c r="K67" s="209"/>
      <c r="L67" s="209"/>
      <c r="N67" s="268"/>
    </row>
    <row r="68" spans="2:14" x14ac:dyDescent="0.25">
      <c r="B68" s="212"/>
      <c r="C68" s="213"/>
      <c r="D68" s="213"/>
      <c r="E68" s="213"/>
      <c r="F68" s="213"/>
      <c r="G68" s="213"/>
      <c r="H68" s="213"/>
      <c r="I68" s="213"/>
      <c r="J68" s="213"/>
      <c r="K68" s="209"/>
      <c r="L68" s="209"/>
      <c r="N68" s="268"/>
    </row>
    <row r="69" spans="2:14" x14ac:dyDescent="0.25">
      <c r="B69" s="212"/>
      <c r="C69" s="213"/>
      <c r="D69" s="213"/>
      <c r="E69" s="213"/>
      <c r="F69" s="213"/>
      <c r="G69" s="213"/>
      <c r="H69" s="213"/>
      <c r="I69" s="213"/>
      <c r="J69" s="213"/>
      <c r="K69" s="209"/>
      <c r="L69" s="209"/>
      <c r="N69" s="268"/>
    </row>
    <row r="70" spans="2:14" x14ac:dyDescent="0.25">
      <c r="B70" s="212"/>
      <c r="C70" s="213"/>
      <c r="D70" s="213"/>
      <c r="E70" s="213"/>
      <c r="F70" s="213"/>
      <c r="G70" s="213"/>
      <c r="H70" s="213"/>
      <c r="I70" s="213"/>
      <c r="J70" s="213"/>
      <c r="K70" s="209"/>
      <c r="L70" s="209"/>
      <c r="N70" s="268"/>
    </row>
    <row r="71" spans="2:14" x14ac:dyDescent="0.25">
      <c r="B71" s="212"/>
      <c r="C71" s="213"/>
      <c r="D71" s="213"/>
      <c r="E71" s="213"/>
      <c r="F71" s="213"/>
      <c r="G71" s="213"/>
      <c r="H71" s="213"/>
      <c r="I71" s="213"/>
      <c r="J71" s="213"/>
      <c r="K71" s="209"/>
      <c r="L71" s="209"/>
      <c r="N71" s="268"/>
    </row>
    <row r="72" spans="2:14" x14ac:dyDescent="0.25">
      <c r="B72" s="212"/>
      <c r="C72" s="213"/>
      <c r="D72" s="213"/>
      <c r="E72" s="213"/>
      <c r="F72" s="213"/>
      <c r="G72" s="213"/>
      <c r="H72" s="213"/>
      <c r="I72" s="213"/>
      <c r="J72" s="213"/>
      <c r="K72" s="209"/>
      <c r="L72" s="209"/>
      <c r="N72" s="268"/>
    </row>
    <row r="73" spans="2:14" x14ac:dyDescent="0.25">
      <c r="B73" s="212"/>
      <c r="C73" s="213"/>
      <c r="D73" s="213"/>
      <c r="E73" s="213"/>
      <c r="F73" s="213"/>
      <c r="G73" s="213"/>
      <c r="H73" s="213"/>
      <c r="I73" s="213"/>
      <c r="J73" s="213"/>
      <c r="K73" s="209"/>
      <c r="L73" s="209"/>
      <c r="N73" s="268"/>
    </row>
    <row r="74" spans="2:14" x14ac:dyDescent="0.25">
      <c r="B74" s="212"/>
      <c r="C74" s="213"/>
      <c r="D74" s="213"/>
      <c r="E74" s="213"/>
      <c r="F74" s="213"/>
      <c r="G74" s="213"/>
      <c r="H74" s="213"/>
      <c r="I74" s="213"/>
      <c r="J74" s="213"/>
      <c r="K74" s="209"/>
      <c r="L74" s="209"/>
      <c r="N74" s="268"/>
    </row>
    <row r="75" spans="2:14" x14ac:dyDescent="0.25">
      <c r="B75" s="212"/>
      <c r="C75" s="213"/>
      <c r="D75" s="213"/>
      <c r="E75" s="213"/>
      <c r="F75" s="213"/>
      <c r="G75" s="213"/>
      <c r="H75" s="213"/>
      <c r="I75" s="213"/>
      <c r="J75" s="213"/>
      <c r="K75" s="209"/>
      <c r="L75" s="209"/>
      <c r="N75" s="268"/>
    </row>
    <row r="76" spans="2:14" x14ac:dyDescent="0.25">
      <c r="B76" s="11" t="s">
        <v>22</v>
      </c>
      <c r="C76" s="12"/>
      <c r="D76" s="12"/>
      <c r="E76" s="12"/>
      <c r="F76" s="12"/>
      <c r="G76" s="12"/>
      <c r="H76" s="12"/>
      <c r="I76" s="12"/>
      <c r="J76" s="12"/>
      <c r="K76" s="9">
        <f>SUBTOTAL(109,FixedOverhead_GeneralTable[Total  Noncash Cost])</f>
        <v>0</v>
      </c>
      <c r="L76" s="9">
        <f>SUBTOTAL(109,FixedOverhead_GeneralTable[Total          Cash Cost])</f>
        <v>0</v>
      </c>
      <c r="N76" s="269"/>
    </row>
  </sheetData>
  <sheetProtection algorithmName="SHA-512" hashValue="Zq0sY4JOek9H9RKCD3pCJgxbO40XouCBLP0e/UTfHcSPeP/JdYrbHe8owuWDzpzZ3Qq613mTS9dszhIiFRhr+w==" saltValue="iM6ixJmxdYRl7TntyN/aCQ==" spinCount="100000" sheet="1" objects="1" scenarios="1"/>
  <mergeCells count="13">
    <mergeCell ref="B2:L2"/>
    <mergeCell ref="B6:L6"/>
    <mergeCell ref="B32:L32"/>
    <mergeCell ref="C7:F7"/>
    <mergeCell ref="C33:F33"/>
    <mergeCell ref="N4:N30"/>
    <mergeCell ref="N32:N61"/>
    <mergeCell ref="N63:N76"/>
    <mergeCell ref="K64:L64"/>
    <mergeCell ref="B64:J64"/>
    <mergeCell ref="G7:L7"/>
    <mergeCell ref="G33:L33"/>
    <mergeCell ref="B63:L63"/>
  </mergeCells>
  <pageMargins left="0.7" right="0.7" top="0.75" bottom="0.75" header="0.3" footer="0.3"/>
  <pageSetup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E57D0-37E9-4F5C-BBFC-B5170A31C9F6}">
  <dimension ref="A2:K21"/>
  <sheetViews>
    <sheetView showGridLines="0" workbookViewId="0"/>
  </sheetViews>
  <sheetFormatPr defaultRowHeight="15" x14ac:dyDescent="0.25"/>
  <cols>
    <col min="1" max="1" width="4.7109375" customWidth="1"/>
    <col min="2" max="2" width="27.140625" customWidth="1"/>
    <col min="3" max="8" width="12.7109375" customWidth="1"/>
    <col min="9" max="9" width="15.7109375" customWidth="1"/>
    <col min="10" max="10" width="4.7109375" customWidth="1"/>
    <col min="11" max="11" width="70.7109375" customWidth="1"/>
  </cols>
  <sheetData>
    <row r="2" spans="1:11" x14ac:dyDescent="0.25">
      <c r="B2" s="306" t="s">
        <v>31</v>
      </c>
      <c r="C2" s="306"/>
      <c r="D2" s="306"/>
      <c r="E2" s="306"/>
      <c r="F2" s="306"/>
      <c r="G2" s="306"/>
      <c r="H2" s="306"/>
      <c r="I2" s="306"/>
    </row>
    <row r="3" spans="1:11" ht="15.75" thickBot="1" x14ac:dyDescent="0.3">
      <c r="B3" s="13"/>
      <c r="C3" s="13"/>
      <c r="K3" s="139" t="s">
        <v>61</v>
      </c>
    </row>
    <row r="4" spans="1:11" x14ac:dyDescent="0.25">
      <c r="A4" s="18"/>
      <c r="B4" s="253" t="s">
        <v>35</v>
      </c>
      <c r="C4" s="254"/>
      <c r="D4" s="255"/>
      <c r="K4" s="267" t="s">
        <v>253</v>
      </c>
    </row>
    <row r="5" spans="1:11" x14ac:dyDescent="0.25">
      <c r="B5" s="19" t="s">
        <v>32</v>
      </c>
      <c r="C5" s="20" t="s">
        <v>2</v>
      </c>
      <c r="D5" s="21" t="s">
        <v>33</v>
      </c>
      <c r="K5" s="268"/>
    </row>
    <row r="6" spans="1:11" x14ac:dyDescent="0.25">
      <c r="B6" s="193"/>
      <c r="C6" s="188"/>
      <c r="D6" s="214"/>
      <c r="K6" s="268"/>
    </row>
    <row r="7" spans="1:11" x14ac:dyDescent="0.25">
      <c r="B7" s="193"/>
      <c r="C7" s="188"/>
      <c r="D7" s="214"/>
      <c r="K7" s="268"/>
    </row>
    <row r="8" spans="1:11" x14ac:dyDescent="0.25">
      <c r="B8" s="193"/>
      <c r="C8" s="188"/>
      <c r="D8" s="214"/>
      <c r="K8" s="268"/>
    </row>
    <row r="9" spans="1:11" x14ac:dyDescent="0.25">
      <c r="B9" s="216"/>
      <c r="C9" s="200"/>
      <c r="D9" s="215"/>
      <c r="K9" s="269"/>
    </row>
    <row r="10" spans="1:11" ht="15.75" thickBot="1" x14ac:dyDescent="0.3">
      <c r="B10" s="13"/>
      <c r="K10" s="183"/>
    </row>
    <row r="11" spans="1:11" x14ac:dyDescent="0.25">
      <c r="B11" s="253" t="s">
        <v>36</v>
      </c>
      <c r="C11" s="254"/>
      <c r="D11" s="254"/>
      <c r="E11" s="254"/>
      <c r="F11" s="254"/>
      <c r="G11" s="254"/>
      <c r="H11" s="254"/>
      <c r="I11" s="254"/>
      <c r="K11" s="267" t="s">
        <v>262</v>
      </c>
    </row>
    <row r="12" spans="1:11" ht="30" x14ac:dyDescent="0.25">
      <c r="B12" s="20" t="s">
        <v>8</v>
      </c>
      <c r="C12" s="7" t="s">
        <v>37</v>
      </c>
      <c r="D12" s="8" t="s">
        <v>38</v>
      </c>
      <c r="E12" s="8" t="s">
        <v>39</v>
      </c>
      <c r="F12" s="8" t="s">
        <v>40</v>
      </c>
      <c r="G12" s="8" t="s">
        <v>41</v>
      </c>
      <c r="H12" s="8" t="s">
        <v>42</v>
      </c>
      <c r="I12" s="8" t="s">
        <v>43</v>
      </c>
      <c r="K12" s="268"/>
    </row>
    <row r="13" spans="1:11" x14ac:dyDescent="0.25">
      <c r="B13" s="188"/>
      <c r="C13" s="185"/>
      <c r="D13" s="209"/>
      <c r="E13" s="209"/>
      <c r="F13" s="209"/>
      <c r="G13" s="9">
        <f>VariableOverhead_EquipOpTable[Electricity Cost/Week]+VariableOverhead_EquipOpTable[Fuel Cost/Week]+VariableOverhead_EquipOpTable[Repair Cost/Week]</f>
        <v>0</v>
      </c>
      <c r="H13" s="176"/>
      <c r="I13" s="9">
        <f>VariableOverhead_EquipOpTable[Total Cost/Week]*VariableOverhead_EquipOpTable[Operating Weeks]</f>
        <v>0</v>
      </c>
      <c r="K13" s="268"/>
    </row>
    <row r="14" spans="1:11" x14ac:dyDescent="0.25">
      <c r="B14" s="188"/>
      <c r="C14" s="185"/>
      <c r="D14" s="209"/>
      <c r="E14" s="209"/>
      <c r="F14" s="209"/>
      <c r="G14" s="9">
        <f>VariableOverhead_EquipOpTable[Electricity Cost/Week]+VariableOverhead_EquipOpTable[Fuel Cost/Week]+VariableOverhead_EquipOpTable[Repair Cost/Week]</f>
        <v>0</v>
      </c>
      <c r="H14" s="176"/>
      <c r="I14" s="9">
        <f>VariableOverhead_EquipOpTable[Total Cost/Week]*VariableOverhead_EquipOpTable[Operating Weeks]</f>
        <v>0</v>
      </c>
      <c r="K14" s="268"/>
    </row>
    <row r="15" spans="1:11" x14ac:dyDescent="0.25">
      <c r="B15" s="188"/>
      <c r="C15" s="185"/>
      <c r="D15" s="209"/>
      <c r="E15" s="209"/>
      <c r="F15" s="209"/>
      <c r="G15" s="9">
        <f>VariableOverhead_EquipOpTable[Electricity Cost/Week]+VariableOverhead_EquipOpTable[Fuel Cost/Week]+VariableOverhead_EquipOpTable[Repair Cost/Week]</f>
        <v>0</v>
      </c>
      <c r="H15" s="176"/>
      <c r="I15" s="9">
        <f>VariableOverhead_EquipOpTable[Total Cost/Week]*VariableOverhead_EquipOpTable[Operating Weeks]</f>
        <v>0</v>
      </c>
      <c r="K15" s="268"/>
    </row>
    <row r="16" spans="1:11" x14ac:dyDescent="0.25">
      <c r="B16" s="188"/>
      <c r="C16" s="185"/>
      <c r="D16" s="209"/>
      <c r="E16" s="209"/>
      <c r="F16" s="209"/>
      <c r="G16" s="9">
        <f>VariableOverhead_EquipOpTable[Electricity Cost/Week]+VariableOverhead_EquipOpTable[Fuel Cost/Week]+VariableOverhead_EquipOpTable[Repair Cost/Week]</f>
        <v>0</v>
      </c>
      <c r="H16" s="176"/>
      <c r="I16" s="9">
        <f>VariableOverhead_EquipOpTable[Total Cost/Week]*VariableOverhead_EquipOpTable[Operating Weeks]</f>
        <v>0</v>
      </c>
      <c r="K16" s="268"/>
    </row>
    <row r="17" spans="2:11" x14ac:dyDescent="0.25">
      <c r="B17" s="188"/>
      <c r="C17" s="185"/>
      <c r="D17" s="209"/>
      <c r="E17" s="209"/>
      <c r="F17" s="209"/>
      <c r="G17" s="9">
        <f>VariableOverhead_EquipOpTable[Electricity Cost/Week]+VariableOverhead_EquipOpTable[Fuel Cost/Week]+VariableOverhead_EquipOpTable[Repair Cost/Week]</f>
        <v>0</v>
      </c>
      <c r="H17" s="176"/>
      <c r="I17" s="9">
        <f>VariableOverhead_EquipOpTable[Total Cost/Week]*VariableOverhead_EquipOpTable[Operating Weeks]</f>
        <v>0</v>
      </c>
      <c r="K17" s="268"/>
    </row>
    <row r="18" spans="2:11" x14ac:dyDescent="0.25">
      <c r="B18" s="188"/>
      <c r="C18" s="185"/>
      <c r="D18" s="209"/>
      <c r="E18" s="209"/>
      <c r="F18" s="209"/>
      <c r="G18" s="9">
        <f>VariableOverhead_EquipOpTable[Electricity Cost/Week]+VariableOverhead_EquipOpTable[Fuel Cost/Week]+VariableOverhead_EquipOpTable[Repair Cost/Week]</f>
        <v>0</v>
      </c>
      <c r="H18" s="176"/>
      <c r="I18" s="9">
        <f>VariableOverhead_EquipOpTable[Total Cost/Week]*VariableOverhead_EquipOpTable[Operating Weeks]</f>
        <v>0</v>
      </c>
      <c r="K18" s="268"/>
    </row>
    <row r="19" spans="2:11" x14ac:dyDescent="0.25">
      <c r="B19" s="188"/>
      <c r="C19" s="185"/>
      <c r="D19" s="209"/>
      <c r="E19" s="209"/>
      <c r="F19" s="209"/>
      <c r="G19" s="9">
        <f>VariableOverhead_EquipOpTable[Electricity Cost/Week]+VariableOverhead_EquipOpTable[Fuel Cost/Week]+VariableOverhead_EquipOpTable[Repair Cost/Week]</f>
        <v>0</v>
      </c>
      <c r="H19" s="176"/>
      <c r="I19" s="9">
        <f>VariableOverhead_EquipOpTable[Total Cost/Week]*VariableOverhead_EquipOpTable[Operating Weeks]</f>
        <v>0</v>
      </c>
      <c r="K19" s="268"/>
    </row>
    <row r="20" spans="2:11" x14ac:dyDescent="0.25">
      <c r="B20" s="11" t="s">
        <v>150</v>
      </c>
      <c r="C20" s="10"/>
      <c r="D20" s="9">
        <f>SUMPRODUCT(D13:D19,H13:H19)</f>
        <v>0</v>
      </c>
      <c r="E20" s="9">
        <f>SUMPRODUCT(E13:E19,H13:H19)</f>
        <v>0</v>
      </c>
      <c r="F20" s="9">
        <f>SUMPRODUCT(F13:F19,H13:H19)</f>
        <v>0</v>
      </c>
      <c r="G20" s="9">
        <f>SUBTOTAL(109,VariableOverhead_EquipOpTable[Total Cost/Week])</f>
        <v>0</v>
      </c>
      <c r="H20" s="26"/>
      <c r="I20" s="9">
        <f>SUBTOTAL(109,VariableOverhead_EquipOpTable[Annual Operating Cost])</f>
        <v>0</v>
      </c>
      <c r="K20" s="268"/>
    </row>
    <row r="21" spans="2:11" x14ac:dyDescent="0.25">
      <c r="K21" s="269"/>
    </row>
  </sheetData>
  <sheetProtection algorithmName="SHA-512" hashValue="es0ye3S7x4MAjiRRKg+8Y7dWBbMKrXGAgGWn81LKz7cBRjod+iEtxeMHIx+1uVN1N0pswDcPWyMN+X4a36laDg==" saltValue="h2LlDBu9R13h3BpuDajfbw==" spinCount="100000" sheet="1" objects="1" scenarios="1"/>
  <mergeCells count="5">
    <mergeCell ref="B4:D4"/>
    <mergeCell ref="B11:I11"/>
    <mergeCell ref="B2:I2"/>
    <mergeCell ref="K4:K9"/>
    <mergeCell ref="K11:K21"/>
  </mergeCells>
  <dataValidations count="1">
    <dataValidation type="list" errorStyle="warning" allowBlank="1" showInputMessage="1" showErrorMessage="1" error="List sources in Energy Rate Table, then select from dropdown menu here." prompt="List sources in Energy Rate Table, then select from dropdown menu here." sqref="C13:C19" xr:uid="{7D4CD1D5-B946-4B5E-B567-C4E901C5ECB9}">
      <formula1>EnergySources</formula1>
    </dataValidation>
  </dataValidations>
  <pageMargins left="0.7" right="0.7" top="0.75" bottom="0.75" header="0.3" footer="0.3"/>
  <pageSetup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1E29A-1AF3-4900-824D-2A3C8F13454A}">
  <dimension ref="B2:E27"/>
  <sheetViews>
    <sheetView showGridLines="0" workbookViewId="0"/>
  </sheetViews>
  <sheetFormatPr defaultRowHeight="15" x14ac:dyDescent="0.25"/>
  <cols>
    <col min="1" max="1" width="4.7109375" customWidth="1"/>
    <col min="2" max="2" width="40.5703125" customWidth="1"/>
    <col min="3" max="3" width="13.140625" customWidth="1"/>
    <col min="4" max="4" width="4.7109375" customWidth="1"/>
    <col min="5" max="5" width="70.7109375" customWidth="1"/>
  </cols>
  <sheetData>
    <row r="2" spans="2:5" x14ac:dyDescent="0.25">
      <c r="B2" s="260" t="s">
        <v>146</v>
      </c>
      <c r="C2" s="260"/>
    </row>
    <row r="3" spans="2:5" s="49" customFormat="1" ht="15.75" thickBot="1" x14ac:dyDescent="0.3">
      <c r="B3" s="48"/>
      <c r="E3" s="139" t="s">
        <v>61</v>
      </c>
    </row>
    <row r="4" spans="2:5" x14ac:dyDescent="0.25">
      <c r="B4" s="253" t="s">
        <v>167</v>
      </c>
      <c r="C4" s="254"/>
      <c r="E4" s="267" t="s">
        <v>254</v>
      </c>
    </row>
    <row r="5" spans="2:5" x14ac:dyDescent="0.25">
      <c r="B5" s="53" t="s">
        <v>161</v>
      </c>
      <c r="C5" s="9">
        <f>TotalVariableCost</f>
        <v>0</v>
      </c>
      <c r="E5" s="268"/>
    </row>
    <row r="6" spans="2:5" s="49" customFormat="1" x14ac:dyDescent="0.25">
      <c r="B6" s="53" t="s">
        <v>163</v>
      </c>
      <c r="C6" s="9">
        <f>TotalFixedCashCosts+TotalFixedNoncashCosts</f>
        <v>0</v>
      </c>
      <c r="E6" s="268"/>
    </row>
    <row r="7" spans="2:5" x14ac:dyDescent="0.25">
      <c r="B7" s="53" t="s">
        <v>162</v>
      </c>
      <c r="C7" s="9">
        <f>TotalCashCosts</f>
        <v>0</v>
      </c>
      <c r="E7" s="268"/>
    </row>
    <row r="8" spans="2:5" x14ac:dyDescent="0.25">
      <c r="B8" s="53" t="s">
        <v>143</v>
      </c>
      <c r="C8" s="9">
        <f>TotalCosts</f>
        <v>0</v>
      </c>
      <c r="E8" s="269"/>
    </row>
    <row r="9" spans="2:5" s="49" customFormat="1" ht="15.75" thickBot="1" x14ac:dyDescent="0.3">
      <c r="C9" s="72"/>
      <c r="E9" s="183"/>
    </row>
    <row r="10" spans="2:5" x14ac:dyDescent="0.25">
      <c r="B10" s="253" t="s">
        <v>168</v>
      </c>
      <c r="C10" s="254"/>
      <c r="E10" s="267" t="s">
        <v>255</v>
      </c>
    </row>
    <row r="11" spans="2:5" x14ac:dyDescent="0.25">
      <c r="B11" s="53" t="s">
        <v>154</v>
      </c>
      <c r="C11" s="26">
        <f>MarketQuantityPerYear</f>
        <v>0</v>
      </c>
      <c r="E11" s="268"/>
    </row>
    <row r="12" spans="2:5" s="49" customFormat="1" x14ac:dyDescent="0.25">
      <c r="B12" s="53" t="s">
        <v>166</v>
      </c>
      <c r="C12" s="9">
        <f>MarketUnit</f>
        <v>0</v>
      </c>
      <c r="E12" s="268"/>
    </row>
    <row r="13" spans="2:5" x14ac:dyDescent="0.25">
      <c r="B13" s="53" t="s">
        <v>151</v>
      </c>
      <c r="C13" s="74">
        <f>IF(MarketQuantityPerYear=0,0,TotalVariableCost/MarketQuantityPerYear)</f>
        <v>0</v>
      </c>
      <c r="E13" s="268"/>
    </row>
    <row r="14" spans="2:5" x14ac:dyDescent="0.25">
      <c r="B14" s="53" t="s">
        <v>152</v>
      </c>
      <c r="C14" s="74">
        <f>IF(MarketQuantityPerYear=0,0,TotalCashCosts/MarketQuantityPerYear)</f>
        <v>0</v>
      </c>
      <c r="E14" s="268"/>
    </row>
    <row r="15" spans="2:5" x14ac:dyDescent="0.25">
      <c r="B15" s="53" t="s">
        <v>153</v>
      </c>
      <c r="C15" s="74">
        <f>IF(MarketQuantityPerYear=0,0,TotalCosts/MarketQuantityPerYear)</f>
        <v>0</v>
      </c>
      <c r="E15" s="269"/>
    </row>
    <row r="16" spans="2:5" s="49" customFormat="1" ht="15.75" thickBot="1" x14ac:dyDescent="0.3">
      <c r="C16" s="73"/>
      <c r="E16" s="183"/>
    </row>
    <row r="17" spans="2:5" x14ac:dyDescent="0.25">
      <c r="B17" s="253" t="s">
        <v>169</v>
      </c>
      <c r="C17" s="254"/>
      <c r="E17" s="267" t="s">
        <v>265</v>
      </c>
    </row>
    <row r="18" spans="2:5" x14ac:dyDescent="0.25">
      <c r="B18" s="53" t="s">
        <v>155</v>
      </c>
      <c r="C18" s="9">
        <f>LaborDetail_HarvestPackLaborCost</f>
        <v>0</v>
      </c>
      <c r="E18" s="268"/>
    </row>
    <row r="19" spans="2:5" x14ac:dyDescent="0.25">
      <c r="B19" s="53" t="s">
        <v>244</v>
      </c>
      <c r="C19" s="9">
        <f>PackingMaterialsCost</f>
        <v>0</v>
      </c>
      <c r="E19" s="268"/>
    </row>
    <row r="20" spans="2:5" x14ac:dyDescent="0.25">
      <c r="B20" s="53" t="s">
        <v>156</v>
      </c>
      <c r="C20" s="26">
        <f>MarketQuantityPerYear</f>
        <v>0</v>
      </c>
      <c r="E20" s="268"/>
    </row>
    <row r="21" spans="2:5" x14ac:dyDescent="0.25">
      <c r="B21" s="53" t="s">
        <v>157</v>
      </c>
      <c r="C21" s="74">
        <f>IF(MarketQuantityPerYear=0,0,(LaborDetail_HarvestPackLaborCost+PackingMaterialsCost)/MarketQuantityPerYear)</f>
        <v>0</v>
      </c>
      <c r="E21" s="269"/>
    </row>
    <row r="22" spans="2:5" s="49" customFormat="1" ht="15.75" thickBot="1" x14ac:dyDescent="0.3">
      <c r="C22" s="73"/>
      <c r="E22" s="183"/>
    </row>
    <row r="23" spans="2:5" x14ac:dyDescent="0.25">
      <c r="B23" s="253" t="s">
        <v>170</v>
      </c>
      <c r="C23" s="254"/>
      <c r="E23" s="267" t="s">
        <v>264</v>
      </c>
    </row>
    <row r="24" spans="2:5" x14ac:dyDescent="0.25">
      <c r="B24" s="53" t="s">
        <v>165</v>
      </c>
      <c r="C24" s="74">
        <f>AveragePrice</f>
        <v>0</v>
      </c>
      <c r="E24" s="268"/>
    </row>
    <row r="25" spans="2:5" x14ac:dyDescent="0.25">
      <c r="B25" s="53" t="s">
        <v>158</v>
      </c>
      <c r="C25" s="45">
        <f>IF(ISBLANK(AveragePrice),0,(TotalVariableCost-LaborDetail_HarvestPackLaborCost-PackingMaterialsCost)/(AveragePrice-HarvestPackingCostPerSalesUnit))</f>
        <v>0</v>
      </c>
      <c r="E25" s="268"/>
    </row>
    <row r="26" spans="2:5" x14ac:dyDescent="0.25">
      <c r="B26" s="53" t="s">
        <v>159</v>
      </c>
      <c r="C26" s="45">
        <f>IF(ISBLANK(AveragePrice),0,(TotalCashCosts-LaborDetail_HarvestPackLaborCost-PackingMaterialsCost)/(AveragePrice-HarvestPackingCostPerSalesUnit))</f>
        <v>0</v>
      </c>
      <c r="E26" s="268"/>
    </row>
    <row r="27" spans="2:5" x14ac:dyDescent="0.25">
      <c r="B27" s="53" t="s">
        <v>160</v>
      </c>
      <c r="C27" s="45">
        <f>IF(ISBLANK(AveragePrice),0,(TotalCosts-LaborDetail_HarvestPackLaborCost-PackingMaterialsCost)/(AveragePrice-HarvestPackingCostPerSalesUnit))</f>
        <v>0</v>
      </c>
      <c r="E27" s="269"/>
    </row>
  </sheetData>
  <sheetProtection algorithmName="SHA-512" hashValue="XT+V28IEQ7SMbz0Mshh5muk27y4ZE0umleJq1lqkmNV2JNbh2EXx3pxe2BpyoPmn6X/SP79AMUQHDz8GkjDMdg==" saltValue="yiqx9YG9QV2BGWPUBsAeug==" spinCount="100000" sheet="1" objects="1" scenarios="1"/>
  <mergeCells count="9">
    <mergeCell ref="B2:C2"/>
    <mergeCell ref="E4:E8"/>
    <mergeCell ref="E10:E15"/>
    <mergeCell ref="E17:E21"/>
    <mergeCell ref="E23:E27"/>
    <mergeCell ref="B4:C4"/>
    <mergeCell ref="B10:C10"/>
    <mergeCell ref="B17:C17"/>
    <mergeCell ref="B23:C2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6376C-6D1E-4026-9513-381451E93709}">
  <dimension ref="B2:J11"/>
  <sheetViews>
    <sheetView showGridLines="0" workbookViewId="0"/>
  </sheetViews>
  <sheetFormatPr defaultRowHeight="15" x14ac:dyDescent="0.25"/>
  <cols>
    <col min="1" max="1" width="4.7109375" customWidth="1"/>
    <col min="2" max="2" width="25" customWidth="1"/>
    <col min="9" max="9" width="4.7109375" customWidth="1"/>
    <col min="10" max="10" width="70.7109375" customWidth="1"/>
  </cols>
  <sheetData>
    <row r="2" spans="2:10" x14ac:dyDescent="0.25">
      <c r="B2" s="260" t="s">
        <v>171</v>
      </c>
      <c r="C2" s="260"/>
      <c r="D2" s="260"/>
      <c r="E2" s="260"/>
      <c r="F2" s="260"/>
      <c r="G2" s="260"/>
      <c r="H2" s="260"/>
    </row>
    <row r="3" spans="2:10" ht="15.75" thickBot="1" x14ac:dyDescent="0.3">
      <c r="B3" s="261"/>
      <c r="C3" s="261"/>
      <c r="D3" s="261"/>
      <c r="E3" s="261"/>
      <c r="F3" s="261"/>
      <c r="G3" s="261"/>
      <c r="H3" s="261"/>
      <c r="J3" s="139" t="s">
        <v>61</v>
      </c>
    </row>
    <row r="4" spans="2:10" x14ac:dyDescent="0.25">
      <c r="B4" s="253" t="s">
        <v>172</v>
      </c>
      <c r="C4" s="254"/>
      <c r="D4" s="254"/>
      <c r="E4" s="254"/>
      <c r="F4" s="254"/>
      <c r="G4" s="254"/>
      <c r="H4" s="255"/>
      <c r="J4" s="267" t="s">
        <v>270</v>
      </c>
    </row>
    <row r="5" spans="2:10" x14ac:dyDescent="0.25">
      <c r="B5" s="252"/>
      <c r="C5" s="252"/>
      <c r="D5" s="301" t="s">
        <v>109</v>
      </c>
      <c r="E5" s="301"/>
      <c r="F5" s="301"/>
      <c r="G5" s="301"/>
      <c r="H5" s="301"/>
      <c r="J5" s="268"/>
    </row>
    <row r="6" spans="2:10" x14ac:dyDescent="0.25">
      <c r="B6" s="252"/>
      <c r="C6" s="252"/>
      <c r="D6" s="182"/>
      <c r="E6" s="182"/>
      <c r="F6" s="182"/>
      <c r="G6" s="182"/>
      <c r="H6" s="182"/>
      <c r="J6" s="268"/>
    </row>
    <row r="7" spans="2:10" x14ac:dyDescent="0.25">
      <c r="B7" s="307" t="s">
        <v>173</v>
      </c>
      <c r="C7" s="175"/>
      <c r="D7" s="75">
        <f t="shared" ref="D7:H11" si="0">(D$6*$C7)-TotalCosts+(HarvestPackingCostPerSalesUnit*(MarketQuantityPerYear-$C7))</f>
        <v>0</v>
      </c>
      <c r="E7" s="75">
        <f t="shared" si="0"/>
        <v>0</v>
      </c>
      <c r="F7" s="75">
        <f t="shared" si="0"/>
        <v>0</v>
      </c>
      <c r="G7" s="75">
        <f t="shared" si="0"/>
        <v>0</v>
      </c>
      <c r="H7" s="75">
        <f t="shared" si="0"/>
        <v>0</v>
      </c>
      <c r="J7" s="268"/>
    </row>
    <row r="8" spans="2:10" x14ac:dyDescent="0.25">
      <c r="B8" s="307"/>
      <c r="C8" s="175"/>
      <c r="D8" s="75">
        <f t="shared" si="0"/>
        <v>0</v>
      </c>
      <c r="E8" s="75">
        <f t="shared" si="0"/>
        <v>0</v>
      </c>
      <c r="F8" s="75">
        <f t="shared" si="0"/>
        <v>0</v>
      </c>
      <c r="G8" s="75">
        <f t="shared" si="0"/>
        <v>0</v>
      </c>
      <c r="H8" s="75">
        <f t="shared" si="0"/>
        <v>0</v>
      </c>
      <c r="J8" s="268"/>
    </row>
    <row r="9" spans="2:10" x14ac:dyDescent="0.25">
      <c r="B9" s="307"/>
      <c r="C9" s="175"/>
      <c r="D9" s="75">
        <f t="shared" si="0"/>
        <v>0</v>
      </c>
      <c r="E9" s="75">
        <f t="shared" si="0"/>
        <v>0</v>
      </c>
      <c r="F9" s="75">
        <f t="shared" si="0"/>
        <v>0</v>
      </c>
      <c r="G9" s="75">
        <f t="shared" si="0"/>
        <v>0</v>
      </c>
      <c r="H9" s="75">
        <f t="shared" si="0"/>
        <v>0</v>
      </c>
      <c r="J9" s="268"/>
    </row>
    <row r="10" spans="2:10" x14ac:dyDescent="0.25">
      <c r="B10" s="307"/>
      <c r="C10" s="175"/>
      <c r="D10" s="75">
        <f t="shared" si="0"/>
        <v>0</v>
      </c>
      <c r="E10" s="75">
        <f t="shared" si="0"/>
        <v>0</v>
      </c>
      <c r="F10" s="75">
        <f t="shared" si="0"/>
        <v>0</v>
      </c>
      <c r="G10" s="75">
        <f t="shared" si="0"/>
        <v>0</v>
      </c>
      <c r="H10" s="75">
        <f t="shared" si="0"/>
        <v>0</v>
      </c>
      <c r="J10" s="268"/>
    </row>
    <row r="11" spans="2:10" x14ac:dyDescent="0.25">
      <c r="B11" s="307"/>
      <c r="C11" s="175"/>
      <c r="D11" s="75">
        <f t="shared" si="0"/>
        <v>0</v>
      </c>
      <c r="E11" s="75">
        <f t="shared" si="0"/>
        <v>0</v>
      </c>
      <c r="F11" s="75">
        <f t="shared" si="0"/>
        <v>0</v>
      </c>
      <c r="G11" s="75">
        <f t="shared" si="0"/>
        <v>0</v>
      </c>
      <c r="H11" s="75">
        <f t="shared" si="0"/>
        <v>0</v>
      </c>
      <c r="J11" s="269"/>
    </row>
  </sheetData>
  <sheetProtection algorithmName="SHA-512" hashValue="IeGMlrUDnb4CVucc8EqAsYi0KNOpqgkxMMsLksCKYL1Hxk5B8O6+8NPPJXBQiwB8z6o9nlUrIAuVv5/FwQLgKA==" saltValue="5b6ybVBfgIeHSQzk12Gy4A==" spinCount="100000" sheet="1" objects="1" scenarios="1"/>
  <mergeCells count="7">
    <mergeCell ref="J4:J11"/>
    <mergeCell ref="B2:H2"/>
    <mergeCell ref="B3:H3"/>
    <mergeCell ref="D5:H5"/>
    <mergeCell ref="B7:B11"/>
    <mergeCell ref="B4:H4"/>
    <mergeCell ref="B5:C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46</vt:i4>
      </vt:variant>
    </vt:vector>
  </HeadingPairs>
  <TitlesOfParts>
    <vt:vector size="57" baseType="lpstr">
      <vt:lpstr>TitleSheet</vt:lpstr>
      <vt:lpstr>BudgetSummary</vt:lpstr>
      <vt:lpstr>ConfigurationYieldPrice</vt:lpstr>
      <vt:lpstr>MaterialsDetail</vt:lpstr>
      <vt:lpstr>LaborDetail</vt:lpstr>
      <vt:lpstr>FixedOverhead</vt:lpstr>
      <vt:lpstr>VariableOverhead</vt:lpstr>
      <vt:lpstr>BreakEvenAnalysis</vt:lpstr>
      <vt:lpstr>SensitivityAnalysis</vt:lpstr>
      <vt:lpstr>InvestmentAnalysis</vt:lpstr>
      <vt:lpstr>PartialBudgetAnalysis</vt:lpstr>
      <vt:lpstr>AnnualInterestRate</vt:lpstr>
      <vt:lpstr>AveragePrice</vt:lpstr>
      <vt:lpstr>EnergySources</vt:lpstr>
      <vt:lpstr>Expected_inflation_rate</vt:lpstr>
      <vt:lpstr>HarvestPackingCostPerSalesUnit</vt:lpstr>
      <vt:lpstr>HarvestPerPlant</vt:lpstr>
      <vt:lpstr>HarvestQuantityPerTurn</vt:lpstr>
      <vt:lpstr>HarvestQuantityPerYear</vt:lpstr>
      <vt:lpstr>HarvestUnit</vt:lpstr>
      <vt:lpstr>HarvestUnitPerMarketUnit</vt:lpstr>
      <vt:lpstr>LaborDetail_AnnualHoursPaid</vt:lpstr>
      <vt:lpstr>LaborDetail_HarvestPackHours</vt:lpstr>
      <vt:lpstr>LaborDetail_HarvestPackLaborCost</vt:lpstr>
      <vt:lpstr>LaborDetail_ProductionHours</vt:lpstr>
      <vt:lpstr>LaborDetail_ProductionLaborCost</vt:lpstr>
      <vt:lpstr>LaborDetail_UnpaidHours</vt:lpstr>
      <vt:lpstr>LaborDetail_UnpaidValue</vt:lpstr>
      <vt:lpstr>LaborTypes</vt:lpstr>
      <vt:lpstr>MarketQuantityPerTurn</vt:lpstr>
      <vt:lpstr>MarketQuantityPerYear</vt:lpstr>
      <vt:lpstr>MarketUnit</vt:lpstr>
      <vt:lpstr>MarketYieldPerPlant</vt:lpstr>
      <vt:lpstr>Net_Present_Value</vt:lpstr>
      <vt:lpstr>PackingMaterialsCost</vt:lpstr>
      <vt:lpstr>PackingWeeks</vt:lpstr>
      <vt:lpstr>PackoutPercentage</vt:lpstr>
      <vt:lpstr>PB_NetOpCostChange</vt:lpstr>
      <vt:lpstr>PB_NetOwnershipChange</vt:lpstr>
      <vt:lpstr>PB_NetReturn</vt:lpstr>
      <vt:lpstr>PB_NetRevenueChange</vt:lpstr>
      <vt:lpstr>PlantsStartedPerYear</vt:lpstr>
      <vt:lpstr>PlantStartsPerTurn</vt:lpstr>
      <vt:lpstr>Risk_Adjusted_Discount_Rate</vt:lpstr>
      <vt:lpstr>SalesRevenuePerTurn</vt:lpstr>
      <vt:lpstr>SalesRevenuePerYear</vt:lpstr>
      <vt:lpstr>SeedLossRate</vt:lpstr>
      <vt:lpstr>SeedStartsPerTurn</vt:lpstr>
      <vt:lpstr>SeedStartsPerYear</vt:lpstr>
      <vt:lpstr>TotalCashCosts</vt:lpstr>
      <vt:lpstr>TotalCosts</vt:lpstr>
      <vt:lpstr>TotalFixedCashCosts</vt:lpstr>
      <vt:lpstr>TotalFixedNoncashCosts</vt:lpstr>
      <vt:lpstr>TotalVariableCashCosts</vt:lpstr>
      <vt:lpstr>TotalVariableCost</vt:lpstr>
      <vt:lpstr>TotalVariableNoncashCosts</vt:lpstr>
      <vt:lpstr>TurnsPerYear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Athearn,Kevin R</dc:creator>
  <cp:lastModifiedBy>Athearn,Kevin R</cp:lastModifiedBy>
  <dcterms:created xsi:type="dcterms:W3CDTF">2018-02-06T19:06:01Z</dcterms:created>
  <dcterms:modified xsi:type="dcterms:W3CDTF">2018-06-13T15:35:57Z</dcterms:modified>
</cp:coreProperties>
</file>