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uflorida-my.sharepoint.com/personal/athearn_ufl_edu/Documents/P2_CropDecisions/CropEcon_Agronomic/Carrots/"/>
    </mc:Choice>
  </mc:AlternateContent>
  <xr:revisionPtr revIDLastSave="25" documentId="8_{D48F0295-542E-42A2-BE28-41D90FD538F6}" xr6:coauthVersionLast="47" xr6:coauthVersionMax="47" xr10:uidLastSave="{24E454E9-D8A0-43AD-9521-A4BCB7520057}"/>
  <bookViews>
    <workbookView xWindow="705" yWindow="330" windowWidth="20775" windowHeight="13155" tabRatio="746" xr2:uid="{60EBEC54-77DB-4DC9-967F-2890A8944339}"/>
  </bookViews>
  <sheets>
    <sheet name="TitleSheet" sheetId="1" r:id="rId1"/>
    <sheet name="BudgetSummary" sheetId="2" r:id="rId2"/>
    <sheet name="SeedDetail" sheetId="8" r:id="rId3"/>
    <sheet name="FertilizerDetail" sheetId="3" r:id="rId4"/>
    <sheet name="PesticideDetail" sheetId="4" r:id="rId5"/>
    <sheet name="MachineryDetail" sheetId="5" r:id="rId6"/>
    <sheet name="IrrigationDetail" sheetId="6" r:id="rId7"/>
    <sheet name="OtherDetail" sheetId="7" r:id="rId8"/>
  </sheets>
  <definedNames>
    <definedName name="DieselFuelPrice">MachineryDetail!$D$8</definedName>
    <definedName name="Effective_Rate">OtherDetail!$G$16</definedName>
    <definedName name="ElectricityPrice">IrrigationDetail!$D$8</definedName>
    <definedName name="Int_Cost_Acre">OtherDetail!$I$16</definedName>
    <definedName name="IrrigInterestRate">IrrigationDetail!$D$6</definedName>
    <definedName name="IrrigLaborWage">IrrigationDetail!$D$7</definedName>
    <definedName name="MachineInterestRate">MachineryDetail!$D$6</definedName>
    <definedName name="MachineLaborWage">MachineryDetail!$D$7</definedName>
    <definedName name="NetOpCostChange">#REF!</definedName>
    <definedName name="NetOwnershipChange">#REF!</definedName>
    <definedName name="NetRevenueChange">#REF!</definedName>
    <definedName name="OpCostPerAcre">BudgetSummary!$F$40</definedName>
    <definedName name="OpCostPerTon">BudgetSummary!#REF!</definedName>
    <definedName name="OwnCostPerAcre">BudgetSummary!$F$48</definedName>
    <definedName name="OwnCostPerTon">BudgetSummary!#REF!</definedName>
    <definedName name="PreharvestRevenuePerAcre">BudgetSummary!$F$15</definedName>
    <definedName name="Risk_Adjusted_Discount_R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5" l="1"/>
  <c r="G14" i="5"/>
  <c r="G15" i="5"/>
  <c r="G16" i="5"/>
  <c r="G17" i="5"/>
  <c r="G18" i="5"/>
  <c r="G19" i="5"/>
  <c r="G20" i="5"/>
  <c r="G21" i="5"/>
  <c r="G22" i="5"/>
  <c r="F13" i="5" l="1"/>
  <c r="F14" i="5"/>
  <c r="F15" i="5"/>
  <c r="F16" i="5"/>
  <c r="F17" i="5"/>
  <c r="F18" i="5"/>
  <c r="F19" i="5"/>
  <c r="F20" i="5"/>
  <c r="F21" i="5"/>
  <c r="F22" i="5"/>
  <c r="F10" i="3" l="1"/>
  <c r="H21" i="7" l="1"/>
  <c r="I21" i="7" s="1"/>
  <c r="F47" i="2" s="1"/>
  <c r="F6" i="2"/>
  <c r="F7" i="2"/>
  <c r="D8" i="2"/>
  <c r="D10" i="2" s="1"/>
  <c r="F10" i="2" s="1"/>
  <c r="E28" i="5"/>
  <c r="K20" i="6"/>
  <c r="K21" i="6"/>
  <c r="K22" i="6"/>
  <c r="F35" i="2" s="1"/>
  <c r="E35" i="2" s="1"/>
  <c r="H7" i="7"/>
  <c r="I7" i="7" s="1"/>
  <c r="D35" i="2"/>
  <c r="J20" i="6"/>
  <c r="J21" i="6"/>
  <c r="J22" i="6" s="1"/>
  <c r="D34" i="2" s="1"/>
  <c r="F34" i="2" s="1"/>
  <c r="D22" i="6"/>
  <c r="D33" i="2" s="1"/>
  <c r="F33" i="2" s="1"/>
  <c r="E34" i="2"/>
  <c r="E33" i="2"/>
  <c r="I20" i="6"/>
  <c r="I22" i="6"/>
  <c r="I21" i="6"/>
  <c r="L21" i="6" s="1"/>
  <c r="M21" i="6" s="1"/>
  <c r="F11" i="3"/>
  <c r="F12" i="3"/>
  <c r="F13" i="3"/>
  <c r="F14" i="3"/>
  <c r="F15" i="3"/>
  <c r="F16" i="3"/>
  <c r="F17" i="3"/>
  <c r="F18" i="3"/>
  <c r="F24" i="3"/>
  <c r="G16" i="7"/>
  <c r="H11" i="7"/>
  <c r="I11" i="7" s="1"/>
  <c r="H12" i="7"/>
  <c r="I12" i="7" s="1"/>
  <c r="H13" i="7"/>
  <c r="I13" i="7" s="1"/>
  <c r="H20" i="7"/>
  <c r="I20" i="7" s="1"/>
  <c r="H22" i="7"/>
  <c r="I22" i="7" s="1"/>
  <c r="H6" i="7"/>
  <c r="I6" i="7" s="1"/>
  <c r="I9" i="7" s="1"/>
  <c r="E37" i="2" s="1"/>
  <c r="F37" i="2" s="1"/>
  <c r="E29" i="2"/>
  <c r="E28" i="2"/>
  <c r="J13" i="6"/>
  <c r="J16" i="6" s="1"/>
  <c r="J14" i="6"/>
  <c r="J15" i="6"/>
  <c r="H13" i="6"/>
  <c r="H16" i="6" s="1"/>
  <c r="I13" i="6"/>
  <c r="I14" i="6"/>
  <c r="I15" i="6"/>
  <c r="H14" i="6"/>
  <c r="H15" i="6"/>
  <c r="K15" i="6"/>
  <c r="M15" i="6" s="1"/>
  <c r="J39" i="5"/>
  <c r="J40" i="5"/>
  <c r="E27" i="5"/>
  <c r="F27" i="5" s="1"/>
  <c r="E29" i="5"/>
  <c r="F29" i="5" s="1"/>
  <c r="E30" i="5"/>
  <c r="F30" i="5" s="1"/>
  <c r="E31" i="5"/>
  <c r="E32" i="5"/>
  <c r="F32" i="5" s="1"/>
  <c r="E33" i="5"/>
  <c r="F33" i="5" s="1"/>
  <c r="E34" i="5"/>
  <c r="F34" i="5" s="1"/>
  <c r="C23" i="5"/>
  <c r="F33" i="4"/>
  <c r="D26" i="2" s="1"/>
  <c r="H31" i="4"/>
  <c r="I31" i="4" s="1"/>
  <c r="H32" i="4"/>
  <c r="I32" i="4" s="1"/>
  <c r="F27" i="4"/>
  <c r="D25" i="2" s="1"/>
  <c r="H24" i="4"/>
  <c r="I24" i="4" s="1"/>
  <c r="H25" i="4"/>
  <c r="I25" i="4" s="1"/>
  <c r="H26" i="4"/>
  <c r="I26" i="4" s="1"/>
  <c r="F20" i="4"/>
  <c r="D24" i="2" s="1"/>
  <c r="H13" i="4"/>
  <c r="I13" i="4" s="1"/>
  <c r="H14" i="4"/>
  <c r="I14" i="4" s="1"/>
  <c r="H15" i="4"/>
  <c r="I15" i="4" s="1"/>
  <c r="H16" i="4"/>
  <c r="I16" i="4"/>
  <c r="H17" i="4"/>
  <c r="I17" i="4" s="1"/>
  <c r="H18" i="4"/>
  <c r="I18" i="4"/>
  <c r="H19" i="4"/>
  <c r="I19" i="4" s="1"/>
  <c r="F9" i="4"/>
  <c r="D23" i="2" s="1"/>
  <c r="H6" i="4"/>
  <c r="I6" i="4" s="1"/>
  <c r="I9" i="4" s="1"/>
  <c r="H9" i="4" s="1"/>
  <c r="E23" i="2" s="1"/>
  <c r="H7" i="4"/>
  <c r="I7" i="4"/>
  <c r="H8" i="4"/>
  <c r="I8" i="4" s="1"/>
  <c r="I25" i="3"/>
  <c r="H25" i="3"/>
  <c r="G25" i="3"/>
  <c r="F22" i="3"/>
  <c r="F23" i="3"/>
  <c r="I19" i="3"/>
  <c r="H19" i="3"/>
  <c r="G19" i="3"/>
  <c r="F5" i="3"/>
  <c r="F6" i="3"/>
  <c r="I7" i="3"/>
  <c r="H7" i="3"/>
  <c r="G7" i="3"/>
  <c r="D7" i="3"/>
  <c r="D8" i="8"/>
  <c r="F5" i="8"/>
  <c r="F8" i="8" s="1"/>
  <c r="F19" i="2" s="1"/>
  <c r="F6" i="8"/>
  <c r="F7" i="8"/>
  <c r="F7" i="3"/>
  <c r="E7" i="3" s="1"/>
  <c r="L20" i="6"/>
  <c r="M20" i="6" s="1"/>
  <c r="I16" i="6"/>
  <c r="I14" i="7" l="1"/>
  <c r="F38" i="2" s="1"/>
  <c r="K14" i="6"/>
  <c r="M14" i="6" s="1"/>
  <c r="F23" i="2"/>
  <c r="I20" i="4"/>
  <c r="H20" i="4" s="1"/>
  <c r="E24" i="2" s="1"/>
  <c r="F24" i="2" s="1"/>
  <c r="E8" i="8"/>
  <c r="I27" i="4"/>
  <c r="H27" i="4" s="1"/>
  <c r="E25" i="2" s="1"/>
  <c r="F25" i="2" s="1"/>
  <c r="L22" i="6"/>
  <c r="K13" i="6"/>
  <c r="F8" i="2"/>
  <c r="E8" i="2" s="1"/>
  <c r="M22" i="6"/>
  <c r="I33" i="4"/>
  <c r="H33" i="4" s="1"/>
  <c r="E26" i="2" s="1"/>
  <c r="F26" i="2" s="1"/>
  <c r="F31" i="5"/>
  <c r="G31" i="5" s="1"/>
  <c r="J31" i="5" s="1"/>
  <c r="F28" i="5"/>
  <c r="G28" i="5" s="1"/>
  <c r="J28" i="5" s="1"/>
  <c r="F46" i="2"/>
  <c r="I23" i="7"/>
  <c r="G34" i="5"/>
  <c r="J34" i="5" s="1"/>
  <c r="G33" i="5"/>
  <c r="J33" i="5" s="1"/>
  <c r="G29" i="5"/>
  <c r="J29" i="5" s="1"/>
  <c r="J41" i="5"/>
  <c r="E31" i="2" s="1"/>
  <c r="F31" i="2" s="1"/>
  <c r="G30" i="5"/>
  <c r="J30" i="5" s="1"/>
  <c r="E35" i="5"/>
  <c r="D30" i="2" s="1"/>
  <c r="G32" i="5"/>
  <c r="J32" i="5" s="1"/>
  <c r="G27" i="5"/>
  <c r="J27" i="5" s="1"/>
  <c r="F23" i="5"/>
  <c r="F19" i="3"/>
  <c r="F21" i="2" s="1"/>
  <c r="F25" i="3"/>
  <c r="F22" i="2" s="1"/>
  <c r="F20" i="2"/>
  <c r="F13" i="2"/>
  <c r="F11" i="2"/>
  <c r="F12" i="2"/>
  <c r="M13" i="6" l="1"/>
  <c r="M16" i="6" s="1"/>
  <c r="F45" i="2" s="1"/>
  <c r="K16" i="6"/>
  <c r="H35" i="5"/>
  <c r="D29" i="2" s="1"/>
  <c r="F29" i="2" s="1"/>
  <c r="F35" i="5"/>
  <c r="D28" i="2" s="1"/>
  <c r="F28" i="2" s="1"/>
  <c r="G35" i="5"/>
  <c r="I35" i="5"/>
  <c r="F30" i="2" s="1"/>
  <c r="E30" i="2" s="1"/>
  <c r="F15" i="2"/>
  <c r="D45" i="2" l="1"/>
  <c r="L16" i="6"/>
  <c r="E45" i="2" s="1"/>
  <c r="H16" i="7"/>
  <c r="I16" i="7" s="1"/>
  <c r="F39" i="2" s="1"/>
  <c r="F40" i="2" s="1"/>
  <c r="F52" i="2" s="1"/>
  <c r="J35" i="5"/>
  <c r="H19" i="5" l="1"/>
  <c r="J19" i="5" s="1"/>
  <c r="H22" i="5"/>
  <c r="J22" i="5" s="1"/>
  <c r="H21" i="5"/>
  <c r="J21" i="5" s="1"/>
  <c r="H16" i="5"/>
  <c r="J16" i="5" s="1"/>
  <c r="H18" i="5"/>
  <c r="J18" i="5" s="1"/>
  <c r="H15" i="5"/>
  <c r="J15" i="5" s="1"/>
  <c r="H17" i="5"/>
  <c r="J17" i="5" s="1"/>
  <c r="H20" i="5"/>
  <c r="J20" i="5" s="1"/>
  <c r="H13" i="5"/>
  <c r="J13" i="5" s="1"/>
  <c r="G23" i="5"/>
  <c r="H14" i="5"/>
  <c r="J14" i="5" s="1"/>
  <c r="J23" i="5" l="1"/>
  <c r="F44" i="2" s="1"/>
  <c r="F48" i="2" s="1"/>
  <c r="F53" i="2" s="1"/>
  <c r="H23" i="5"/>
  <c r="D44" i="2" s="1"/>
  <c r="I23" i="5" l="1"/>
  <c r="E44" i="2" s="1"/>
</calcChain>
</file>

<file path=xl/sharedStrings.xml><?xml version="1.0" encoding="utf-8"?>
<sst xmlns="http://schemas.openxmlformats.org/spreadsheetml/2006/main" count="448" uniqueCount="252">
  <si>
    <t>Crop Name:</t>
  </si>
  <si>
    <t>Carrots</t>
  </si>
  <si>
    <t>Crop Variety:</t>
  </si>
  <si>
    <t>cello type (Maverick)</t>
  </si>
  <si>
    <t>Region:</t>
  </si>
  <si>
    <t>Suwannee Valley, Florida</t>
  </si>
  <si>
    <t>Year:</t>
  </si>
  <si>
    <t>Scale:</t>
  </si>
  <si>
    <t>140-acre field; 1,120-acre farm</t>
  </si>
  <si>
    <t>Prepared by:</t>
  </si>
  <si>
    <t>Description:</t>
  </si>
  <si>
    <t>BUDGET SUMMARY</t>
  </si>
  <si>
    <t>EXPECTED YIELD, REVENUE &amp; YIELD-BASED COSTS</t>
  </si>
  <si>
    <t>Product Type, Quality, Grade</t>
  </si>
  <si>
    <t>Unit</t>
  </si>
  <si>
    <t>Units/Acre</t>
  </si>
  <si>
    <t>Price/Unit</t>
  </si>
  <si>
    <t>Revenue/Acre</t>
  </si>
  <si>
    <t>lbs</t>
  </si>
  <si>
    <t>Gross Shipping Point Revenue</t>
  </si>
  <si>
    <t>Yield-Based Cost Items</t>
  </si>
  <si>
    <t>Cost/Unit</t>
  </si>
  <si>
    <t>Cost/Acre</t>
  </si>
  <si>
    <t>PRE-HARVEST REVENUE</t>
  </si>
  <si>
    <t>Pre-harvest Revenue</t>
  </si>
  <si>
    <t>PRE-HARVEST OPERATING COSTS</t>
  </si>
  <si>
    <t>Direct Materials</t>
  </si>
  <si>
    <t>Seeds</t>
  </si>
  <si>
    <t>see detail</t>
  </si>
  <si>
    <t>Dry Fertilizer</t>
  </si>
  <si>
    <t>Liquid Fertilizer</t>
  </si>
  <si>
    <t>Herbicides</t>
  </si>
  <si>
    <t>application</t>
  </si>
  <si>
    <t>Fungicides</t>
  </si>
  <si>
    <t>Insecticides</t>
  </si>
  <si>
    <t>Nematicides</t>
  </si>
  <si>
    <t>Machinery Operation</t>
  </si>
  <si>
    <t>Machine Labor</t>
  </si>
  <si>
    <t>hour</t>
  </si>
  <si>
    <t>Fuel</t>
  </si>
  <si>
    <t>gallon</t>
  </si>
  <si>
    <t>Repairs, incl. oil &amp; lubricant</t>
  </si>
  <si>
    <t>Custom Hired Machine Work</t>
  </si>
  <si>
    <t>acre</t>
  </si>
  <si>
    <t>Irrigation Operation</t>
  </si>
  <si>
    <t>Electricity</t>
  </si>
  <si>
    <t>kwh</t>
  </si>
  <si>
    <t>Repairs</t>
  </si>
  <si>
    <t>acre-inch</t>
  </si>
  <si>
    <t>Other</t>
  </si>
  <si>
    <t>Other Labor Activities</t>
  </si>
  <si>
    <t>Other Cost Items</t>
  </si>
  <si>
    <t>Interest on Operating Expenses</t>
  </si>
  <si>
    <t>percent</t>
  </si>
  <si>
    <t>Total</t>
  </si>
  <si>
    <t>Item</t>
  </si>
  <si>
    <t>Annual Cost</t>
  </si>
  <si>
    <t>CropAcres/Yr</t>
  </si>
  <si>
    <t>Machine Ownership or Lease</t>
  </si>
  <si>
    <t>Irrigation Ownership or Lease</t>
  </si>
  <si>
    <t>Land Ownership or Lease</t>
  </si>
  <si>
    <t>General &amp; Administrative Overhead</t>
  </si>
  <si>
    <t>Return Type</t>
  </si>
  <si>
    <t>Return/Acre</t>
  </si>
  <si>
    <t>Net Return over Operating Costs</t>
  </si>
  <si>
    <t>Net Return over Total Costs</t>
  </si>
  <si>
    <t>SEED DETAIL</t>
  </si>
  <si>
    <t>Cultivar/Variety Name</t>
  </si>
  <si>
    <t>Notes</t>
  </si>
  <si>
    <t>Cello-type</t>
  </si>
  <si>
    <t>thousand</t>
  </si>
  <si>
    <t>SOIL AMENDMENT &amp; FERTILIZER DETAIL</t>
  </si>
  <si>
    <t>Soil Amendment/pH Materials</t>
  </si>
  <si>
    <t>N/Acre</t>
  </si>
  <si>
    <r>
      <t>P</t>
    </r>
    <r>
      <rPr>
        <b/>
        <vertAlign val="subscript"/>
        <sz val="11"/>
        <color theme="0"/>
        <rFont val="Calibri"/>
        <family val="2"/>
        <scheme val="minor"/>
      </rPr>
      <t>2</t>
    </r>
    <r>
      <rPr>
        <b/>
        <sz val="11"/>
        <color theme="0"/>
        <rFont val="Calibri"/>
        <family val="2"/>
        <scheme val="minor"/>
      </rPr>
      <t>O</t>
    </r>
    <r>
      <rPr>
        <b/>
        <vertAlign val="subscript"/>
        <sz val="11"/>
        <color theme="0"/>
        <rFont val="Calibri"/>
        <family val="2"/>
        <scheme val="minor"/>
      </rPr>
      <t>5</t>
    </r>
    <r>
      <rPr>
        <b/>
        <sz val="11"/>
        <color theme="0"/>
        <rFont val="Calibri"/>
        <family val="2"/>
        <scheme val="minor"/>
      </rPr>
      <t>/Acre</t>
    </r>
  </si>
  <si>
    <r>
      <t>K</t>
    </r>
    <r>
      <rPr>
        <b/>
        <vertAlign val="subscript"/>
        <sz val="11"/>
        <color theme="0"/>
        <rFont val="Calibri"/>
        <family val="2"/>
        <scheme val="minor"/>
      </rPr>
      <t>2</t>
    </r>
    <r>
      <rPr>
        <b/>
        <sz val="11"/>
        <color theme="0"/>
        <rFont val="Calibri"/>
        <family val="2"/>
        <scheme val="minor"/>
      </rPr>
      <t>O/Acre</t>
    </r>
  </si>
  <si>
    <t>Lime/dolomite</t>
  </si>
  <si>
    <t>ton</t>
  </si>
  <si>
    <t>Broadcast prior to planting</t>
  </si>
  <si>
    <t>Gypsum</t>
  </si>
  <si>
    <t>Dry Fertilizers</t>
  </si>
  <si>
    <t>lb</t>
  </si>
  <si>
    <t>18-46-0 DAP</t>
  </si>
  <si>
    <t>Muriate of potash, 0-0-60</t>
  </si>
  <si>
    <t>Sulfur (0-0-0-90)</t>
  </si>
  <si>
    <t>Boron (14.3%)</t>
  </si>
  <si>
    <t>Copper sulfate (25%)</t>
  </si>
  <si>
    <t>Iron DDP (47%)</t>
  </si>
  <si>
    <t>Manganese DDP (33%)</t>
  </si>
  <si>
    <t>Zinc DDP (35%)</t>
  </si>
  <si>
    <t>Liquid Fertilizers</t>
  </si>
  <si>
    <t>10-34-00</t>
  </si>
  <si>
    <t>Starter fertilizer applied at planting</t>
  </si>
  <si>
    <t>UAN with sulfur, 28-0-0-5</t>
  </si>
  <si>
    <t>Injected through the pivot</t>
  </si>
  <si>
    <t>7-0-7 + micros</t>
  </si>
  <si>
    <t>PESTICIDE DETAIL</t>
  </si>
  <si>
    <t>HERBICIDES</t>
  </si>
  <si>
    <t>Active Ingredient</t>
  </si>
  <si>
    <t>Trade Name</t>
  </si>
  <si>
    <t>Units/App/A</t>
  </si>
  <si>
    <t>Apps</t>
  </si>
  <si>
    <t>Cost/App</t>
  </si>
  <si>
    <t>Trifluralin</t>
  </si>
  <si>
    <t>Treflan (Dow)</t>
  </si>
  <si>
    <t>fl oz</t>
  </si>
  <si>
    <t>pre-emergent</t>
  </si>
  <si>
    <t>Linuron</t>
  </si>
  <si>
    <t>Lorox (NovaSource)</t>
  </si>
  <si>
    <t>post-emergent</t>
  </si>
  <si>
    <t>FUNGICIDES</t>
  </si>
  <si>
    <t>Chlorothalonil</t>
  </si>
  <si>
    <t>Bravo Weather Stik (Syngenta)</t>
  </si>
  <si>
    <t>Mefenoxam</t>
  </si>
  <si>
    <t>Ridomil Gold SL (Syngenta)</t>
  </si>
  <si>
    <t>Azoxystrobin+Difenoconazole</t>
  </si>
  <si>
    <t>Quadris Top (Syngenta)</t>
  </si>
  <si>
    <t>Fluxapyroxad+others</t>
  </si>
  <si>
    <t>Merivon (BASF)</t>
  </si>
  <si>
    <t>Pyraclostrobin+others</t>
  </si>
  <si>
    <t>Pristine (BASF)</t>
  </si>
  <si>
    <t>Iprodione+others</t>
  </si>
  <si>
    <t>Rovral (FMC)</t>
  </si>
  <si>
    <t>Penthiopyrad</t>
  </si>
  <si>
    <t>Fontelis (Dupont)</t>
  </si>
  <si>
    <t>INSECTICIDES</t>
  </si>
  <si>
    <t>Diazinon</t>
  </si>
  <si>
    <t>Diazinon Ag500 (Helena)</t>
  </si>
  <si>
    <t>pre-plant soil incorporation</t>
  </si>
  <si>
    <t>Imidacloprid</t>
  </si>
  <si>
    <t>Admire Pro (Bayer)</t>
  </si>
  <si>
    <t>after seeding</t>
  </si>
  <si>
    <t>NEMATICIDES</t>
  </si>
  <si>
    <t>1,3-dichloropropene</t>
  </si>
  <si>
    <t>Telone II (Dow)</t>
  </si>
  <si>
    <t>gal</t>
  </si>
  <si>
    <t>MACHINERY DETAIL</t>
  </si>
  <si>
    <t>INPUT PRICES &amp; RATES</t>
  </si>
  <si>
    <t>Interest rate or opportunity cost of capital</t>
  </si>
  <si>
    <t>APR</t>
  </si>
  <si>
    <t>Machine labor wage + payroll overhead</t>
  </si>
  <si>
    <t>Diesel fuel (off-road)</t>
  </si>
  <si>
    <t>MACHINERY OWNERSHIP OR LEASE</t>
  </si>
  <si>
    <t>Annualized Costs</t>
  </si>
  <si>
    <t>Machinery Item</t>
  </si>
  <si>
    <t>List Price</t>
  </si>
  <si>
    <t>Use Life (Years)</t>
  </si>
  <si>
    <t>Salvage Value</t>
  </si>
  <si>
    <t>Down Payment</t>
  </si>
  <si>
    <t>Annual Payment</t>
  </si>
  <si>
    <t>Insurance</t>
  </si>
  <si>
    <t>Taxes &amp; Fees</t>
  </si>
  <si>
    <t>Capital Recovery</t>
  </si>
  <si>
    <t>Total Annual Cost</t>
  </si>
  <si>
    <t>Crop Acres per Year</t>
  </si>
  <si>
    <t>Cost per Crop Acre</t>
  </si>
  <si>
    <t>Tractor, 155 hp, 4WD</t>
  </si>
  <si>
    <t>Disk, 32'</t>
  </si>
  <si>
    <t>7-bottom switch plow</t>
  </si>
  <si>
    <t>Herbicide sprayer, 60'</t>
  </si>
  <si>
    <t>Field cultivator</t>
  </si>
  <si>
    <t>Bed shaper</t>
  </si>
  <si>
    <t>Sponge seeder/planter</t>
  </si>
  <si>
    <t>Self-Propelled Sprayer, 120' boom</t>
  </si>
  <si>
    <t>MACHINERY OPERATION</t>
  </si>
  <si>
    <t>Activity, Tractor, &amp; Implement</t>
  </si>
  <si>
    <t>Acres per Hour</t>
  </si>
  <si>
    <t>Times Over</t>
  </si>
  <si>
    <t>Machine Hours/Acre</t>
  </si>
  <si>
    <t>Labor Hours/Acre</t>
  </si>
  <si>
    <t>Labor Cost/Acre</t>
  </si>
  <si>
    <t>Fuel Cost/Acre</t>
  </si>
  <si>
    <t>Repair Cost/Acre</t>
  </si>
  <si>
    <t>Total Cost/Acre</t>
  </si>
  <si>
    <t>CUSTOM HIRED MACHINE WORK</t>
  </si>
  <si>
    <t>Activity</t>
  </si>
  <si>
    <t>Cost/App per Acre</t>
  </si>
  <si>
    <t>Applications (Times Over)</t>
  </si>
  <si>
    <t>Column8</t>
  </si>
  <si>
    <t>Column7</t>
  </si>
  <si>
    <t>Column6</t>
  </si>
  <si>
    <t>Column1</t>
  </si>
  <si>
    <t>Column5</t>
  </si>
  <si>
    <t>IRRIGATION DETAIL</t>
  </si>
  <si>
    <t>Irrigation labor wage + payroll overhead</t>
  </si>
  <si>
    <t>IRRIGATION SYSTEM OWNERSHIP COSTS</t>
  </si>
  <si>
    <t>Irrigation Components</t>
  </si>
  <si>
    <t>140-acre center pivot irrigation system</t>
  </si>
  <si>
    <t>Electric standby charge</t>
  </si>
  <si>
    <t>IRRIGATION OPERATION</t>
  </si>
  <si>
    <t>Pumping HP</t>
  </si>
  <si>
    <t>Irrigated Acres</t>
  </si>
  <si>
    <t>Apps per Crop</t>
  </si>
  <si>
    <t>Acre Inches per App</t>
  </si>
  <si>
    <t>Pivot Hours/App</t>
  </si>
  <si>
    <t>Labor Hours/App</t>
  </si>
  <si>
    <t>Labor Cost</t>
  </si>
  <si>
    <t>Electricity Cost</t>
  </si>
  <si>
    <t>Repair Cost</t>
  </si>
  <si>
    <t>Total Cost</t>
  </si>
  <si>
    <t>General Irrigation</t>
  </si>
  <si>
    <t>Fertigation</t>
  </si>
  <si>
    <t>OTHER DETAIL</t>
  </si>
  <si>
    <t>OTHER OPERATING COSTS</t>
  </si>
  <si>
    <t>Description</t>
  </si>
  <si>
    <t>Units/Field</t>
  </si>
  <si>
    <t>Field Acres</t>
  </si>
  <si>
    <t>Soil Moisture Monitoring Labor</t>
  </si>
  <si>
    <t>hours</t>
  </si>
  <si>
    <t>Other Labor</t>
  </si>
  <si>
    <t>Other Operating Cost Items</t>
  </si>
  <si>
    <t>Custom Crop Services</t>
  </si>
  <si>
    <t>Scouting</t>
  </si>
  <si>
    <t>Crop Insurance</t>
  </si>
  <si>
    <t>Interest Type</t>
  </si>
  <si>
    <t>Monthly Rate</t>
  </si>
  <si>
    <t>Wtd Avg Months</t>
  </si>
  <si>
    <t>Effective Rate</t>
  </si>
  <si>
    <t>Op Cost/Acre</t>
  </si>
  <si>
    <t>Interest Cost/Acre</t>
  </si>
  <si>
    <t>Monthly interest rate on operating capital</t>
  </si>
  <si>
    <t>prct</t>
  </si>
  <si>
    <t>OTHER OWNERSHIP COSTS</t>
  </si>
  <si>
    <t>Units</t>
  </si>
  <si>
    <t>Irrigated cropland rental value</t>
  </si>
  <si>
    <t>farm</t>
  </si>
  <si>
    <t>Lime and gypsum</t>
  </si>
  <si>
    <t>Tractor, 210 hp, 4WD</t>
  </si>
  <si>
    <t>Tax Ins Hsg</t>
  </si>
  <si>
    <t>Disk</t>
  </si>
  <si>
    <t>Plow &amp; fumigate</t>
  </si>
  <si>
    <t>Cultivate &amp; spray</t>
  </si>
  <si>
    <t>Shape beds</t>
  </si>
  <si>
    <t>Plant</t>
  </si>
  <si>
    <t>Spray post-emergent herbicide</t>
  </si>
  <si>
    <t>Spray fungicide &amp; insecticide</t>
  </si>
  <si>
    <t>Cellos, medium-large</t>
  </si>
  <si>
    <t>Cellos, jumbo</t>
  </si>
  <si>
    <t>2018-2019</t>
  </si>
  <si>
    <t>13-4-13</t>
  </si>
  <si>
    <t>Irrigation &amp; Fertigation Labor</t>
  </si>
  <si>
    <t>Harvesting, hauling, packing</t>
  </si>
  <si>
    <t>Custom spreading of dolomite, gypsum, 13-4-13, DAP, &amp; potash with minors</t>
  </si>
  <si>
    <t>This sample budget contains UF/IFAS estimates based on information from research trials, crop specialists, growers, input suppliers, and other sources. Price estimates were obtained in 2018 and 2019. Actual production costs and returns will vary from grower to grower and year to year. This budget is not statistically representative of actual costs and returns. This budget does not consider the division of costs and returns between grower and contracting company. It does not account for carrot company costs beyond field operations, harvesting, hauling, and packing.</t>
  </si>
  <si>
    <t>PRE-HARVEST OWNERSHIP COSTS</t>
  </si>
  <si>
    <t>NET RETURNS*</t>
  </si>
  <si>
    <t>*This net return does not account for all carrot company costs. The carrot grower does not receive the full net return, but is paid a management fee according to the contract with the carrot company.</t>
  </si>
  <si>
    <t>CARROT PRODUCTION BUDGET</t>
  </si>
  <si>
    <t>ESTIMATED COSTS AND RETURNS FOR CARROT COMPANY AND GROWER</t>
  </si>
  <si>
    <t>Acknowledgments:</t>
  </si>
  <si>
    <t>Thanks to Bob Hochmuth, Ben Broughton, Fei He, and Tatiana Borisova for contributing to the development of these cost and return estimates.</t>
  </si>
  <si>
    <t>Kevin Athearn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</si>
</sst>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
    <numFmt numFmtId="166" formatCode="&quot;$&quot;#,##0.000"/>
    <numFmt numFmtId="167" formatCode="#,##0.0000"/>
  </numFmts>
  <fonts count="9" x14ac:knownFonts="1">
    <font>
      <sz val="11"/>
      <color theme="1"/>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i/>
      <sz val="11"/>
      <name val="Calibri"/>
      <family val="2"/>
      <scheme val="minor"/>
    </font>
    <font>
      <b/>
      <vertAlign val="subscript"/>
      <sz val="11"/>
      <color theme="0"/>
      <name val="Calibri"/>
      <family val="2"/>
      <scheme val="minor"/>
    </font>
    <font>
      <b/>
      <sz val="11"/>
      <color rgb="FF5B89B4"/>
      <name val="Calibri"/>
      <family val="2"/>
      <scheme val="minor"/>
    </font>
    <font>
      <sz val="11"/>
      <color rgb="FF5B89B4"/>
      <name val="Calibri"/>
      <family val="2"/>
      <scheme val="minor"/>
    </font>
    <font>
      <b/>
      <sz val="11"/>
      <name val="Calibri"/>
      <family val="2"/>
      <scheme val="minor"/>
    </font>
  </fonts>
  <fills count="7">
    <fill>
      <patternFill patternType="none"/>
    </fill>
    <fill>
      <patternFill patternType="gray125"/>
    </fill>
    <fill>
      <patternFill patternType="solid">
        <fgColor rgb="FF5B89B4"/>
        <bgColor indexed="64"/>
      </patternFill>
    </fill>
    <fill>
      <patternFill patternType="solid">
        <fgColor rgb="FFFFEBC6"/>
        <bgColor indexed="64"/>
      </patternFill>
    </fill>
    <fill>
      <patternFill patternType="solid">
        <fgColor rgb="FFC5D3C0"/>
        <bgColor indexed="64"/>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s>
  <cellStyleXfs count="1">
    <xf numFmtId="0" fontId="0" fillId="0" borderId="0"/>
  </cellStyleXfs>
  <cellXfs count="162">
    <xf numFmtId="0" fontId="0" fillId="0" borderId="0" xfId="0"/>
    <xf numFmtId="0" fontId="1" fillId="0" borderId="0" xfId="0" applyFont="1"/>
    <xf numFmtId="0" fontId="2" fillId="0" borderId="2" xfId="0" applyFont="1" applyBorder="1"/>
    <xf numFmtId="0" fontId="0" fillId="0" borderId="4" xfId="0" applyBorder="1"/>
    <xf numFmtId="0" fontId="2" fillId="0" borderId="0" xfId="0" applyFont="1"/>
    <xf numFmtId="164" fontId="0" fillId="0" borderId="0" xfId="0" applyNumberFormat="1"/>
    <xf numFmtId="3" fontId="0" fillId="0" borderId="0" xfId="0" applyNumberFormat="1"/>
    <xf numFmtId="0" fontId="0" fillId="0" borderId="0" xfId="0" applyAlignment="1">
      <alignment horizontal="left"/>
    </xf>
    <xf numFmtId="0" fontId="0" fillId="3" borderId="4" xfId="0" applyFill="1" applyBorder="1"/>
    <xf numFmtId="164" fontId="0" fillId="3" borderId="4" xfId="0" applyNumberFormat="1" applyFill="1" applyBorder="1"/>
    <xf numFmtId="164" fontId="0" fillId="4" borderId="4" xfId="0" applyNumberFormat="1" applyFill="1" applyBorder="1"/>
    <xf numFmtId="0" fontId="0" fillId="4" borderId="4" xfId="0" applyFill="1" applyBorder="1"/>
    <xf numFmtId="0" fontId="0" fillId="0" borderId="13" xfId="0" applyBorder="1"/>
    <xf numFmtId="0" fontId="0" fillId="4" borderId="13" xfId="0" applyFill="1" applyBorder="1"/>
    <xf numFmtId="164" fontId="0" fillId="4" borderId="13" xfId="0" applyNumberFormat="1" applyFill="1" applyBorder="1"/>
    <xf numFmtId="0" fontId="0" fillId="0" borderId="14" xfId="0" applyBorder="1"/>
    <xf numFmtId="0" fontId="0" fillId="0" borderId="12" xfId="0" applyBorder="1"/>
    <xf numFmtId="0" fontId="0" fillId="0" borderId="1" xfId="0" applyBorder="1"/>
    <xf numFmtId="0" fontId="0" fillId="3" borderId="13" xfId="0" applyFill="1" applyBorder="1"/>
    <xf numFmtId="164" fontId="0" fillId="3" borderId="13" xfId="0" applyNumberFormat="1" applyFill="1" applyBorder="1"/>
    <xf numFmtId="0" fontId="0" fillId="5" borderId="9" xfId="0" applyFill="1" applyBorder="1"/>
    <xf numFmtId="0" fontId="0" fillId="5" borderId="4" xfId="0" applyFill="1" applyBorder="1"/>
    <xf numFmtId="0" fontId="0" fillId="5" borderId="12" xfId="0" applyFill="1" applyBorder="1"/>
    <xf numFmtId="0" fontId="0" fillId="5" borderId="13" xfId="0" applyFill="1" applyBorder="1"/>
    <xf numFmtId="0" fontId="0" fillId="5" borderId="8" xfId="0" applyFill="1" applyBorder="1"/>
    <xf numFmtId="0" fontId="0" fillId="5" borderId="14" xfId="0" applyFill="1" applyBorder="1"/>
    <xf numFmtId="0" fontId="1" fillId="2" borderId="11" xfId="0" applyFont="1" applyFill="1" applyBorder="1"/>
    <xf numFmtId="0" fontId="1" fillId="2" borderId="5" xfId="0" applyFont="1" applyFill="1" applyBorder="1"/>
    <xf numFmtId="0" fontId="1" fillId="2" borderId="5" xfId="0" applyFont="1" applyFill="1" applyBorder="1" applyAlignment="1">
      <alignment horizontal="right"/>
    </xf>
    <xf numFmtId="0" fontId="1" fillId="2" borderId="10" xfId="0" applyFont="1" applyFill="1" applyBorder="1" applyAlignment="1">
      <alignment horizontal="center"/>
    </xf>
    <xf numFmtId="164" fontId="0" fillId="4" borderId="15" xfId="0" applyNumberFormat="1" applyFill="1" applyBorder="1"/>
    <xf numFmtId="0" fontId="0" fillId="4" borderId="12" xfId="0" applyFill="1" applyBorder="1"/>
    <xf numFmtId="0" fontId="0" fillId="5" borderId="5" xfId="0" applyFill="1" applyBorder="1"/>
    <xf numFmtId="164" fontId="0" fillId="3" borderId="5" xfId="0" applyNumberFormat="1" applyFill="1" applyBorder="1" applyAlignment="1">
      <alignment horizontal="right"/>
    </xf>
    <xf numFmtId="0" fontId="0" fillId="4" borderId="9" xfId="0" applyFill="1" applyBorder="1"/>
    <xf numFmtId="0" fontId="4" fillId="0" borderId="2" xfId="0" applyFont="1" applyBorder="1"/>
    <xf numFmtId="0" fontId="3" fillId="2" borderId="4" xfId="0" applyFont="1" applyFill="1" applyBorder="1"/>
    <xf numFmtId="0" fontId="3" fillId="2" borderId="4" xfId="0" applyFont="1" applyFill="1" applyBorder="1" applyAlignment="1">
      <alignment horizontal="right"/>
    </xf>
    <xf numFmtId="0" fontId="3" fillId="2" borderId="5" xfId="0" applyFont="1" applyFill="1" applyBorder="1"/>
    <xf numFmtId="0" fontId="3" fillId="2" borderId="5" xfId="0" applyFont="1" applyFill="1" applyBorder="1" applyAlignment="1">
      <alignment horizontal="right"/>
    </xf>
    <xf numFmtId="0" fontId="0" fillId="4" borderId="8" xfId="0" applyFill="1" applyBorder="1"/>
    <xf numFmtId="0" fontId="3" fillId="2" borderId="11" xfId="0" applyFont="1" applyFill="1" applyBorder="1"/>
    <xf numFmtId="0" fontId="3" fillId="2" borderId="10" xfId="0" applyFont="1" applyFill="1" applyBorder="1" applyAlignment="1">
      <alignment horizontal="center"/>
    </xf>
    <xf numFmtId="3" fontId="0" fillId="4" borderId="13" xfId="0" applyNumberFormat="1" applyFill="1" applyBorder="1"/>
    <xf numFmtId="3" fontId="0" fillId="3" borderId="4" xfId="0" applyNumberFormat="1" applyFill="1" applyBorder="1"/>
    <xf numFmtId="3" fontId="0" fillId="3" borderId="13" xfId="0" applyNumberFormat="1" applyFill="1" applyBorder="1"/>
    <xf numFmtId="0" fontId="3" fillId="2" borderId="5" xfId="0" applyFont="1" applyFill="1" applyBorder="1" applyAlignment="1">
      <alignment horizontal="right" indent="1"/>
    </xf>
    <xf numFmtId="0" fontId="0" fillId="4" borderId="14" xfId="0" applyFill="1" applyBorder="1"/>
    <xf numFmtId="0" fontId="0" fillId="5" borderId="11" xfId="0" applyFill="1" applyBorder="1"/>
    <xf numFmtId="0" fontId="0" fillId="4" borderId="2" xfId="0" applyFill="1" applyBorder="1"/>
    <xf numFmtId="0" fontId="1" fillId="2" borderId="5" xfId="0" applyFont="1" applyFill="1" applyBorder="1" applyAlignment="1">
      <alignment horizontal="right" wrapText="1"/>
    </xf>
    <xf numFmtId="165" fontId="0" fillId="3" borderId="4" xfId="0" applyNumberFormat="1" applyFill="1" applyBorder="1"/>
    <xf numFmtId="165" fontId="0" fillId="3" borderId="13" xfId="0" applyNumberFormat="1" applyFill="1" applyBorder="1"/>
    <xf numFmtId="165" fontId="0" fillId="4" borderId="4" xfId="0" applyNumberFormat="1" applyFill="1" applyBorder="1"/>
    <xf numFmtId="165" fontId="0" fillId="4" borderId="13" xfId="0" applyNumberFormat="1" applyFill="1" applyBorder="1"/>
    <xf numFmtId="10" fontId="0" fillId="3" borderId="4" xfId="0" applyNumberFormat="1" applyFill="1" applyBorder="1"/>
    <xf numFmtId="4" fontId="0" fillId="4" borderId="4" xfId="0" applyNumberFormat="1" applyFill="1" applyBorder="1"/>
    <xf numFmtId="0" fontId="1" fillId="2" borderId="10" xfId="0" applyFont="1" applyFill="1" applyBorder="1" applyAlignment="1">
      <alignment horizontal="right" wrapText="1"/>
    </xf>
    <xf numFmtId="165" fontId="0" fillId="4" borderId="8" xfId="0" applyNumberFormat="1" applyFill="1" applyBorder="1"/>
    <xf numFmtId="0" fontId="3" fillId="2" borderId="11" xfId="0" applyFont="1" applyFill="1" applyBorder="1" applyAlignment="1">
      <alignment wrapText="1"/>
    </xf>
    <xf numFmtId="0" fontId="3" fillId="2" borderId="5" xfId="0" applyFont="1" applyFill="1" applyBorder="1" applyAlignment="1">
      <alignment horizontal="right" wrapText="1"/>
    </xf>
    <xf numFmtId="0" fontId="3" fillId="2" borderId="10" xfId="0" applyFont="1" applyFill="1" applyBorder="1" applyAlignment="1">
      <alignment horizontal="center" wrapText="1"/>
    </xf>
    <xf numFmtId="4" fontId="0" fillId="4" borderId="13" xfId="0" applyNumberFormat="1" applyFill="1" applyBorder="1"/>
    <xf numFmtId="0" fontId="0" fillId="0" borderId="0" xfId="0" applyAlignment="1">
      <alignment horizontal="right"/>
    </xf>
    <xf numFmtId="3" fontId="0" fillId="3" borderId="8" xfId="0" applyNumberFormat="1" applyFill="1" applyBorder="1"/>
    <xf numFmtId="0" fontId="0" fillId="4" borderId="0" xfId="0" applyFill="1"/>
    <xf numFmtId="0" fontId="0" fillId="4" borderId="16" xfId="0" applyFill="1" applyBorder="1"/>
    <xf numFmtId="0" fontId="1" fillId="2" borderId="10" xfId="0" applyFont="1" applyFill="1" applyBorder="1"/>
    <xf numFmtId="0" fontId="1" fillId="5" borderId="12" xfId="0" applyFont="1" applyFill="1" applyBorder="1"/>
    <xf numFmtId="0" fontId="0" fillId="3" borderId="8" xfId="0" applyFill="1" applyBorder="1"/>
    <xf numFmtId="0" fontId="0" fillId="3" borderId="14" xfId="0" applyFill="1" applyBorder="1"/>
    <xf numFmtId="3" fontId="1" fillId="2" borderId="11" xfId="0" applyNumberFormat="1" applyFont="1" applyFill="1" applyBorder="1"/>
    <xf numFmtId="164" fontId="0" fillId="5" borderId="9" xfId="0" applyNumberFormat="1" applyFill="1" applyBorder="1"/>
    <xf numFmtId="0" fontId="6" fillId="2" borderId="0" xfId="0" applyFont="1" applyFill="1" applyAlignment="1">
      <alignment horizontal="right" wrapText="1"/>
    </xf>
    <xf numFmtId="164" fontId="7" fillId="2" borderId="0" xfId="0" applyNumberFormat="1" applyFont="1" applyFill="1"/>
    <xf numFmtId="164" fontId="0" fillId="4" borderId="9" xfId="0" applyNumberFormat="1" applyFill="1" applyBorder="1"/>
    <xf numFmtId="164" fontId="0" fillId="4" borderId="12" xfId="0" applyNumberFormat="1" applyFill="1" applyBorder="1"/>
    <xf numFmtId="0" fontId="0" fillId="5" borderId="2" xfId="0" applyFill="1" applyBorder="1"/>
    <xf numFmtId="164" fontId="0" fillId="5" borderId="2" xfId="0" applyNumberFormat="1" applyFill="1" applyBorder="1"/>
    <xf numFmtId="0" fontId="3" fillId="2" borderId="0" xfId="0" applyFont="1" applyFill="1" applyAlignment="1">
      <alignment wrapText="1"/>
    </xf>
    <xf numFmtId="0" fontId="3" fillId="2" borderId="10" xfId="0" applyFont="1" applyFill="1" applyBorder="1" applyAlignment="1">
      <alignment wrapText="1"/>
    </xf>
    <xf numFmtId="165" fontId="0" fillId="3" borderId="4" xfId="0" applyNumberFormat="1" applyFill="1" applyBorder="1" applyAlignment="1">
      <alignment horizontal="right" wrapText="1"/>
    </xf>
    <xf numFmtId="165" fontId="0" fillId="3" borderId="4" xfId="0" applyNumberFormat="1" applyFill="1" applyBorder="1" applyAlignment="1">
      <alignment horizontal="center"/>
    </xf>
    <xf numFmtId="0" fontId="0" fillId="3" borderId="4" xfId="0" applyFill="1" applyBorder="1" applyAlignment="1">
      <alignment horizontal="right" wrapText="1"/>
    </xf>
    <xf numFmtId="165" fontId="0" fillId="4" borderId="4" xfId="0" applyNumberFormat="1" applyFill="1" applyBorder="1" applyAlignment="1">
      <alignment horizontal="right"/>
    </xf>
    <xf numFmtId="165" fontId="0" fillId="4" borderId="4" xfId="0" applyNumberFormat="1" applyFill="1" applyBorder="1" applyAlignment="1">
      <alignment horizontal="center"/>
    </xf>
    <xf numFmtId="165" fontId="0" fillId="4" borderId="4" xfId="0" applyNumberFormat="1" applyFill="1" applyBorder="1" applyAlignment="1">
      <alignment horizontal="right" wrapText="1"/>
    </xf>
    <xf numFmtId="0" fontId="8" fillId="0" borderId="8" xfId="0" applyFont="1" applyBorder="1"/>
    <xf numFmtId="0" fontId="8" fillId="0" borderId="2" xfId="0" applyFont="1" applyBorder="1"/>
    <xf numFmtId="0" fontId="8" fillId="0" borderId="9" xfId="0" applyFont="1" applyBorder="1"/>
    <xf numFmtId="0" fontId="1" fillId="2" borderId="11" xfId="0" applyFont="1" applyFill="1" applyBorder="1" applyAlignment="1">
      <alignment wrapText="1"/>
    </xf>
    <xf numFmtId="0" fontId="1" fillId="2" borderId="10" xfId="0" applyFont="1" applyFill="1" applyBorder="1" applyAlignment="1">
      <alignment horizontal="center" wrapText="1"/>
    </xf>
    <xf numFmtId="2" fontId="0" fillId="4" borderId="4" xfId="0" applyNumberFormat="1" applyFill="1" applyBorder="1"/>
    <xf numFmtId="165" fontId="0" fillId="4" borderId="9" xfId="0" applyNumberFormat="1" applyFill="1" applyBorder="1"/>
    <xf numFmtId="165" fontId="0" fillId="4" borderId="2" xfId="0" applyNumberFormat="1" applyFill="1" applyBorder="1"/>
    <xf numFmtId="2" fontId="0" fillId="4" borderId="12" xfId="0" applyNumberFormat="1" applyFill="1" applyBorder="1"/>
    <xf numFmtId="0" fontId="3" fillId="2" borderId="0" xfId="0" applyFont="1" applyFill="1" applyAlignment="1">
      <alignment horizontal="right" wrapText="1"/>
    </xf>
    <xf numFmtId="164" fontId="3" fillId="2" borderId="0" xfId="0" applyNumberFormat="1" applyFont="1" applyFill="1" applyAlignment="1">
      <alignment horizontal="right" wrapText="1"/>
    </xf>
    <xf numFmtId="0" fontId="3" fillId="2" borderId="0" xfId="0" applyFont="1" applyFill="1" applyAlignment="1">
      <alignment horizontal="center" wrapText="1"/>
    </xf>
    <xf numFmtId="0" fontId="0" fillId="6" borderId="4" xfId="0" applyFill="1" applyBorder="1"/>
    <xf numFmtId="165" fontId="0" fillId="6" borderId="4" xfId="0" applyNumberFormat="1" applyFill="1" applyBorder="1"/>
    <xf numFmtId="165" fontId="1" fillId="4" borderId="4" xfId="0" applyNumberFormat="1" applyFont="1" applyFill="1" applyBorder="1"/>
    <xf numFmtId="0" fontId="0" fillId="5" borderId="16" xfId="0" applyFill="1" applyBorder="1"/>
    <xf numFmtId="0" fontId="0" fillId="0" borderId="18" xfId="0" applyBorder="1"/>
    <xf numFmtId="165" fontId="0" fillId="4" borderId="5" xfId="0" applyNumberFormat="1" applyFill="1" applyBorder="1" applyAlignment="1">
      <alignment horizontal="right"/>
    </xf>
    <xf numFmtId="164" fontId="1" fillId="4" borderId="4" xfId="0" applyNumberFormat="1" applyFont="1" applyFill="1" applyBorder="1"/>
    <xf numFmtId="10" fontId="0" fillId="4" borderId="4" xfId="0" applyNumberFormat="1" applyFill="1" applyBorder="1"/>
    <xf numFmtId="3" fontId="0" fillId="3" borderId="5" xfId="0" applyNumberFormat="1" applyFill="1" applyBorder="1" applyAlignment="1">
      <alignment horizontal="right"/>
    </xf>
    <xf numFmtId="3" fontId="0" fillId="4" borderId="9" xfId="0" applyNumberFormat="1" applyFill="1" applyBorder="1"/>
    <xf numFmtId="3" fontId="0" fillId="0" borderId="4" xfId="0" applyNumberFormat="1" applyBorder="1"/>
    <xf numFmtId="164" fontId="0" fillId="0" borderId="4" xfId="0" applyNumberFormat="1" applyBorder="1"/>
    <xf numFmtId="166" fontId="0" fillId="0" borderId="4" xfId="0" applyNumberFormat="1" applyBorder="1"/>
    <xf numFmtId="3" fontId="0" fillId="0" borderId="18" xfId="0" applyNumberFormat="1" applyBorder="1"/>
    <xf numFmtId="164" fontId="0" fillId="0" borderId="18" xfId="0" applyNumberFormat="1" applyBorder="1"/>
    <xf numFmtId="165" fontId="0" fillId="0" borderId="4" xfId="0" applyNumberFormat="1" applyBorder="1"/>
    <xf numFmtId="165" fontId="0" fillId="0" borderId="18" xfId="0" applyNumberFormat="1" applyBorder="1"/>
    <xf numFmtId="0" fontId="3" fillId="2" borderId="19" xfId="0" applyFont="1" applyFill="1" applyBorder="1"/>
    <xf numFmtId="0" fontId="1" fillId="0" borderId="0" xfId="0" applyFont="1" applyAlignment="1">
      <alignment vertical="center"/>
    </xf>
    <xf numFmtId="0" fontId="0" fillId="0" borderId="0" xfId="0" applyAlignment="1">
      <alignment vertical="center"/>
    </xf>
    <xf numFmtId="0" fontId="1" fillId="0" borderId="8" xfId="0" applyFont="1" applyBorder="1" applyAlignment="1">
      <alignment horizontal="center"/>
    </xf>
    <xf numFmtId="0" fontId="1" fillId="0" borderId="2" xfId="0" applyFont="1" applyBorder="1" applyAlignment="1">
      <alignment horizontal="center"/>
    </xf>
    <xf numFmtId="0" fontId="1" fillId="0" borderId="9" xfId="0" applyFont="1" applyBorder="1" applyAlignment="1">
      <alignment horizontal="center"/>
    </xf>
    <xf numFmtId="0" fontId="1" fillId="0" borderId="0" xfId="0" applyFont="1" applyAlignment="1">
      <alignment horizontal="center"/>
    </xf>
    <xf numFmtId="167" fontId="0" fillId="4" borderId="4" xfId="0" applyNumberFormat="1" applyFill="1" applyBorder="1"/>
    <xf numFmtId="167" fontId="0" fillId="4" borderId="13" xfId="0" applyNumberFormat="1" applyFill="1" applyBorder="1"/>
    <xf numFmtId="0" fontId="0" fillId="0" borderId="0" xfId="0"/>
    <xf numFmtId="0" fontId="0" fillId="0" borderId="14" xfId="0"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10" xfId="0" applyBorder="1" applyAlignment="1">
      <alignment horizontal="left" vertical="top" wrapText="1"/>
    </xf>
    <xf numFmtId="0" fontId="0" fillId="0" borderId="1" xfId="0" applyBorder="1" applyAlignment="1">
      <alignment horizontal="left" vertical="top" wrapText="1"/>
    </xf>
    <xf numFmtId="0" fontId="0" fillId="0" borderId="11" xfId="0" applyBorder="1" applyAlignment="1">
      <alignment horizontal="left" vertical="top" wrapText="1"/>
    </xf>
    <xf numFmtId="0" fontId="1" fillId="0" borderId="0" xfId="0" applyFont="1" applyAlignment="1">
      <alignment vertical="center"/>
    </xf>
    <xf numFmtId="0" fontId="0" fillId="0" borderId="0" xfId="0" applyAlignment="1">
      <alignment vertical="center"/>
    </xf>
    <xf numFmtId="0" fontId="1" fillId="0" borderId="3" xfId="0" applyFont="1" applyBorder="1"/>
    <xf numFmtId="0" fontId="3" fillId="2" borderId="5" xfId="0" applyFont="1" applyFill="1" applyBorder="1"/>
    <xf numFmtId="0" fontId="0" fillId="0" borderId="4" xfId="0" applyBorder="1"/>
    <xf numFmtId="0" fontId="1" fillId="4" borderId="4" xfId="0" applyFont="1" applyFill="1" applyBorder="1"/>
    <xf numFmtId="0" fontId="0" fillId="0" borderId="8" xfId="0" applyBorder="1"/>
    <xf numFmtId="0" fontId="0" fillId="0" borderId="9" xfId="0" applyBorder="1"/>
    <xf numFmtId="0" fontId="1" fillId="0" borderId="0" xfId="0" applyFont="1"/>
    <xf numFmtId="0" fontId="3" fillId="2" borderId="6" xfId="0" applyFont="1" applyFill="1" applyBorder="1"/>
    <xf numFmtId="0" fontId="3" fillId="2" borderId="7" xfId="0" applyFont="1" applyFill="1" applyBorder="1"/>
    <xf numFmtId="0" fontId="3" fillId="2" borderId="19" xfId="0" applyFont="1" applyFill="1" applyBorder="1"/>
    <xf numFmtId="0" fontId="1" fillId="4" borderId="8" xfId="0" applyFont="1" applyFill="1" applyBorder="1"/>
    <xf numFmtId="0" fontId="1" fillId="4" borderId="2" xfId="0" applyFont="1" applyFill="1" applyBorder="1"/>
    <xf numFmtId="0" fontId="1" fillId="4" borderId="9" xfId="0" applyFont="1" applyFill="1" applyBorder="1"/>
    <xf numFmtId="0" fontId="2" fillId="0" borderId="2" xfId="0" applyFont="1" applyBorder="1"/>
    <xf numFmtId="0" fontId="1" fillId="0" borderId="1" xfId="0" applyFont="1" applyBorder="1"/>
    <xf numFmtId="0" fontId="1" fillId="0" borderId="8" xfId="0" applyFont="1" applyBorder="1" applyAlignment="1">
      <alignment horizontal="center"/>
    </xf>
    <xf numFmtId="0" fontId="1" fillId="0" borderId="2" xfId="0" applyFont="1" applyBorder="1" applyAlignment="1">
      <alignment horizontal="center"/>
    </xf>
    <xf numFmtId="0" fontId="1" fillId="0" borderId="9" xfId="0" applyFont="1" applyBorder="1" applyAlignment="1">
      <alignment horizontal="center"/>
    </xf>
    <xf numFmtId="0" fontId="8" fillId="0" borderId="0" xfId="0" applyFont="1"/>
    <xf numFmtId="0" fontId="8" fillId="0" borderId="8" xfId="0" applyFont="1" applyBorder="1" applyAlignment="1">
      <alignment horizontal="center"/>
    </xf>
    <xf numFmtId="0" fontId="8" fillId="0" borderId="2" xfId="0" applyFont="1" applyBorder="1" applyAlignment="1">
      <alignment horizontal="center"/>
    </xf>
    <xf numFmtId="0" fontId="8" fillId="0" borderId="9" xfId="0" applyFont="1" applyBorder="1" applyAlignment="1">
      <alignment horizontal="center"/>
    </xf>
    <xf numFmtId="0" fontId="0" fillId="0" borderId="0" xfId="0" applyBorder="1" applyAlignment="1">
      <alignment horizontal="left" vertical="top" wrapText="1"/>
    </xf>
    <xf numFmtId="0" fontId="0" fillId="0" borderId="16" xfId="0" applyBorder="1" applyAlignment="1">
      <alignment wrapText="1"/>
    </xf>
    <xf numFmtId="0" fontId="0" fillId="0" borderId="0" xfId="0" applyAlignment="1">
      <alignment wrapText="1"/>
    </xf>
    <xf numFmtId="0" fontId="0" fillId="0" borderId="0" xfId="0" applyBorder="1" applyAlignment="1">
      <alignment vertical="top"/>
    </xf>
  </cellXfs>
  <cellStyles count="1">
    <cellStyle name="Normal" xfId="0" builtinId="0"/>
  </cellStyles>
  <dxfs count="352">
    <dxf>
      <fill>
        <patternFill patternType="solid">
          <fgColor indexed="64"/>
          <bgColor theme="0"/>
        </patternFill>
      </fill>
      <border diagonalUp="0" diagonalDown="0" outline="0">
        <left style="thin">
          <color indexed="64"/>
        </left>
        <right/>
        <top style="thin">
          <color indexed="64"/>
        </top>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3" formatCode="#,##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fill>
        <patternFill patternType="solid">
          <fgColor indexed="64"/>
          <bgColor rgb="FFC5D3C0"/>
        </patternFill>
      </fill>
      <border diagonalUp="0" diagonalDown="0" outline="0">
        <left style="thin">
          <color indexed="64"/>
        </left>
        <right style="thin">
          <color indexed="64"/>
        </right>
        <top style="thin">
          <color indexed="64"/>
        </top>
        <bottom/>
      </border>
    </dxf>
    <dxf>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fill>
        <patternFill patternType="solid">
          <fgColor indexed="64"/>
          <bgColor rgb="FFC5D3C0"/>
        </patternFill>
      </fill>
      <border diagonalUp="0" diagonalDown="0" outline="0">
        <left/>
        <right style="thin">
          <color indexed="64"/>
        </right>
        <top style="thin">
          <color indexed="64"/>
        </top>
        <bottom/>
      </border>
    </dxf>
    <dxf>
      <fill>
        <patternFill patternType="solid">
          <fgColor indexed="64"/>
          <bgColor theme="0"/>
        </patternFill>
      </fill>
      <border diagonalUp="0" diagonalDown="0" outline="0">
        <left style="thin">
          <color indexed="64"/>
        </left>
        <right/>
        <top style="thin">
          <color indexed="64"/>
        </top>
        <bottom/>
      </border>
    </dxf>
    <dxf>
      <numFmt numFmtId="164" formatCode="&quot;$&quot;#,##0.00"/>
      <fill>
        <patternFill patternType="solid">
          <fgColor indexed="64"/>
          <bgColor rgb="FFC5D3C0"/>
        </patternFill>
      </fill>
      <border diagonalUp="0" diagonalDown="0" outline="0">
        <left/>
        <right style="thin">
          <color indexed="64"/>
        </right>
        <top style="thin">
          <color indexed="64"/>
        </top>
        <bottom/>
      </border>
    </dxf>
    <dxf>
      <fill>
        <patternFill patternType="solid">
          <fgColor indexed="64"/>
          <bgColor rgb="FFC5D3C0"/>
        </patternFill>
      </fill>
    </dxf>
    <dxf>
      <fill>
        <patternFill patternType="solid">
          <fgColor indexed="64"/>
          <bgColor rgb="FFC5D3C0"/>
        </patternFill>
      </fill>
    </dxf>
    <dxf>
      <fill>
        <patternFill patternType="solid">
          <fgColor indexed="64"/>
          <bgColor rgb="FFC5D3C0"/>
        </patternFill>
      </fill>
    </dxf>
    <dxf>
      <fill>
        <patternFill patternType="solid">
          <fgColor indexed="64"/>
          <bgColor rgb="FFC5D3C0"/>
        </patternFill>
      </fill>
    </dxf>
    <dxf>
      <fill>
        <patternFill patternType="solid">
          <fgColor indexed="64"/>
          <bgColor rgb="FFC5D3C0"/>
        </patternFill>
      </fill>
    </dxf>
    <dxf>
      <fill>
        <patternFill patternType="solid">
          <fgColor indexed="64"/>
          <bgColor rgb="FFC5D3C0"/>
        </patternFill>
      </fill>
      <border diagonalUp="0" diagonalDown="0" outline="0">
        <left style="thin">
          <color indexed="64"/>
        </left>
        <right/>
        <top style="thin">
          <color indexed="64"/>
        </top>
        <bottom/>
      </border>
    </dxf>
    <dxf>
      <fill>
        <patternFill patternType="solid">
          <fgColor indexed="64"/>
          <bgColor rgb="FFC5D3C0"/>
        </patternFill>
      </fill>
      <border diagonalUp="0" diagonalDown="0" outline="0">
        <left style="thin">
          <color indexed="64"/>
        </left>
        <right style="thin">
          <color indexed="64"/>
        </right>
        <top style="thin">
          <color indexed="64"/>
        </top>
        <bottom/>
      </border>
    </dxf>
    <dxf>
      <fill>
        <patternFill patternType="solid">
          <fgColor indexed="64"/>
          <bgColor rgb="FFC5D3C0"/>
        </patternFill>
      </fill>
      <border diagonalUp="0" diagonalDown="0" outline="0">
        <left/>
        <right/>
        <top style="thin">
          <color indexed="64"/>
        </top>
        <bottom/>
      </border>
    </dxf>
    <dxf>
      <fill>
        <patternFill patternType="solid">
          <fgColor indexed="64"/>
          <bgColor theme="0"/>
        </patternFill>
      </fill>
      <border diagonalUp="0" diagonalDown="0" outline="0">
        <left style="thin">
          <color indexed="64"/>
        </left>
        <right/>
        <top style="thin">
          <color indexed="64"/>
        </top>
        <bottom/>
      </border>
    </dxf>
    <dxf>
      <numFmt numFmtId="3" formatCode="#,##0"/>
      <fill>
        <patternFill patternType="solid">
          <fgColor indexed="64"/>
          <bgColor rgb="FFC5D3C0"/>
        </patternFill>
      </fill>
      <border diagonalUp="0" diagonalDown="0" outline="0">
        <left style="thin">
          <color indexed="64"/>
        </left>
        <right style="thin">
          <color indexed="64"/>
        </right>
        <top style="thin">
          <color indexed="64"/>
        </top>
        <bottom/>
      </border>
    </dxf>
    <dxf>
      <numFmt numFmtId="3" formatCode="#,##0"/>
      <fill>
        <patternFill patternType="solid">
          <fgColor indexed="64"/>
          <bgColor rgb="FFC5D3C0"/>
        </patternFill>
      </fill>
      <border diagonalUp="0" diagonalDown="0" outline="0">
        <left style="thin">
          <color indexed="64"/>
        </left>
        <right style="thin">
          <color indexed="64"/>
        </right>
        <top style="thin">
          <color indexed="64"/>
        </top>
        <bottom/>
      </border>
    </dxf>
    <dxf>
      <numFmt numFmtId="3" formatCode="#,##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fill>
        <patternFill patternType="solid">
          <fgColor indexed="64"/>
          <bgColor rgb="FFC5D3C0"/>
        </patternFill>
      </fill>
      <border diagonalUp="0" diagonalDown="0" outline="0">
        <left/>
        <right style="thin">
          <color indexed="64"/>
        </right>
        <top style="thin">
          <color indexed="64"/>
        </top>
        <bottom/>
      </border>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C5D3C0"/>
        </patternFill>
      </fill>
      <border diagonalUp="0" diagonalDown="0" outline="0">
        <left style="thin">
          <color indexed="64"/>
        </left>
        <right/>
        <top style="thin">
          <color indexed="64"/>
        </top>
        <bottom style="thin">
          <color indexed="64"/>
        </bottom>
      </border>
    </dxf>
    <dxf>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4" formatCode="#,##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4" formatCode="#,##0.00"/>
      <fill>
        <patternFill patternType="solid">
          <fgColor indexed="64"/>
          <bgColor rgb="FFC5D3C0"/>
        </patternFill>
      </fill>
      <border diagonalUp="0" diagonalDown="0" outline="0">
        <left style="thin">
          <color indexed="64"/>
        </left>
        <right style="thin">
          <color indexed="64"/>
        </right>
        <top style="thin">
          <color indexed="64"/>
        </top>
        <bottom/>
      </border>
    </dxf>
    <dxf>
      <fill>
        <patternFill patternType="solid">
          <fgColor indexed="64"/>
          <bgColor rgb="FFC5D3C0"/>
        </patternFill>
      </fill>
      <border diagonalUp="0" diagonalDown="0" outline="0">
        <left/>
        <right/>
        <top style="thin">
          <color indexed="64"/>
        </top>
        <bottom/>
      </border>
    </dxf>
    <dxf>
      <fill>
        <patternFill patternType="solid">
          <fgColor indexed="64"/>
          <bgColor rgb="FFC5D3C0"/>
        </patternFill>
      </fill>
      <border diagonalUp="0" diagonalDown="0" outline="0">
        <left/>
        <right/>
        <top style="thin">
          <color indexed="64"/>
        </top>
        <bottom/>
      </border>
    </dxf>
    <dxf>
      <fill>
        <patternFill patternType="solid">
          <fgColor indexed="64"/>
          <bgColor rgb="FFC5D3C0"/>
        </patternFill>
      </fill>
      <border diagonalUp="0" diagonalDown="0" outline="0">
        <left style="thin">
          <color indexed="64"/>
        </left>
        <right/>
        <top style="thin">
          <color indexed="64"/>
        </top>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3" formatCode="#,##0"/>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C5D3C0"/>
        </patternFill>
      </fill>
      <border diagonalUp="0" diagonalDown="0" outline="0">
        <left style="thin">
          <color indexed="64"/>
        </left>
        <right/>
        <top style="thin">
          <color indexed="64"/>
        </top>
        <bottom style="thin">
          <color indexed="64"/>
        </bottom>
      </border>
    </dxf>
    <dxf>
      <fill>
        <patternFill patternType="solid">
          <fgColor indexed="64"/>
          <bgColor theme="0"/>
        </patternFill>
      </fill>
      <border diagonalUp="0" diagonalDown="0" outline="0">
        <left style="thin">
          <color indexed="64"/>
        </left>
        <right/>
        <top style="thin">
          <color indexed="64"/>
        </top>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diagonalUp="0" diagonalDown="0" outline="0">
        <left/>
        <right style="thin">
          <color indexed="64"/>
        </right>
        <top style="thin">
          <color indexed="64"/>
        </top>
        <bottom/>
      </border>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style="thin">
          <color indexed="64"/>
        </left>
        <right/>
        <top style="thin">
          <color indexed="64"/>
        </top>
        <bottom style="thin">
          <color indexed="64"/>
        </bottom>
      </border>
    </dxf>
    <dxf>
      <fill>
        <patternFill patternType="solid">
          <fgColor indexed="64"/>
          <bgColor theme="0"/>
        </patternFill>
      </fill>
      <border diagonalUp="0" diagonalDown="0" outline="0">
        <left style="thin">
          <color indexed="64"/>
        </left>
        <right/>
        <top style="thin">
          <color indexed="64"/>
        </top>
        <bottom/>
      </border>
    </dxf>
    <dxf>
      <numFmt numFmtId="3" formatCode="#,##0"/>
      <fill>
        <patternFill patternType="solid">
          <fgColor indexed="64"/>
          <bgColor rgb="FFC5D3C0"/>
        </patternFill>
      </fill>
      <border diagonalUp="0" diagonalDown="0" outline="0">
        <left style="thin">
          <color indexed="64"/>
        </left>
        <right style="thin">
          <color indexed="64"/>
        </right>
        <top style="thin">
          <color indexed="64"/>
        </top>
        <bottom/>
      </border>
    </dxf>
    <dxf>
      <numFmt numFmtId="3" formatCode="#,##0"/>
      <fill>
        <patternFill patternType="solid">
          <fgColor indexed="64"/>
          <bgColor rgb="FFC5D3C0"/>
        </patternFill>
      </fill>
      <border diagonalUp="0" diagonalDown="0" outline="0">
        <left style="thin">
          <color indexed="64"/>
        </left>
        <right style="thin">
          <color indexed="64"/>
        </right>
        <top style="thin">
          <color indexed="64"/>
        </top>
        <bottom/>
      </border>
    </dxf>
    <dxf>
      <numFmt numFmtId="3" formatCode="#,##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fill>
        <patternFill patternType="solid">
          <fgColor indexed="64"/>
          <bgColor rgb="FFC5D3C0"/>
        </patternFill>
      </fill>
      <border diagonalUp="0" diagonalDown="0" outline="0">
        <left/>
        <right style="thin">
          <color indexed="64"/>
        </right>
        <top style="thin">
          <color indexed="64"/>
        </top>
        <bottom/>
      </border>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C5D3C0"/>
        </patternFill>
      </fill>
      <border diagonalUp="0" diagonalDown="0" outline="0">
        <left style="thin">
          <color indexed="64"/>
        </left>
        <right/>
        <top style="thin">
          <color indexed="64"/>
        </top>
        <bottom style="thin">
          <color indexed="64"/>
        </bottom>
      </border>
    </dxf>
    <dxf>
      <numFmt numFmtId="3" formatCode="#,##0"/>
      <fill>
        <patternFill patternType="solid">
          <fgColor indexed="64"/>
          <bgColor rgb="FFFFEBC6"/>
        </patternFill>
      </fill>
      <border diagonalUp="0" diagonalDown="0" outline="0">
        <left style="thin">
          <color indexed="64"/>
        </left>
        <right style="thin">
          <color indexed="64"/>
        </right>
        <top style="thin">
          <color indexed="64"/>
        </top>
        <bottom style="thin">
          <color indexed="64"/>
        </bottom>
      </border>
    </dxf>
    <dxf>
      <numFmt numFmtId="3" formatCode="#,##0"/>
      <fill>
        <patternFill patternType="solid">
          <fgColor indexed="64"/>
          <bgColor rgb="FFFFEBC6"/>
        </patternFill>
      </fill>
      <border diagonalUp="0" diagonalDown="0" outline="0">
        <left style="thin">
          <color indexed="64"/>
        </left>
        <right style="thin">
          <color indexed="64"/>
        </right>
        <top style="thin">
          <color indexed="64"/>
        </top>
        <bottom style="thin">
          <color indexed="64"/>
        </bottom>
      </border>
    </dxf>
    <dxf>
      <numFmt numFmtId="3" formatCode="#,##0"/>
      <fill>
        <patternFill patternType="solid">
          <fgColor indexed="64"/>
          <bgColor rgb="FFFFEBC6"/>
        </patternFill>
      </fill>
      <border diagonalUp="0" diagonalDown="0" outline="0">
        <left style="thin">
          <color indexed="64"/>
        </left>
        <right style="thin">
          <color indexed="64"/>
        </right>
        <top style="thin">
          <color indexed="64"/>
        </top>
        <bottom style="thin">
          <color indexed="64"/>
        </bottom>
      </border>
    </dxf>
    <dxf>
      <numFmt numFmtId="164" formatCode="&quot;$&quot;#,##0.0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numFmt numFmtId="164" formatCode="&quot;$&quot;#,##0.00"/>
      <fill>
        <patternFill patternType="solid">
          <fgColor indexed="64"/>
          <bgColor rgb="FFFFEBC6"/>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EBC6"/>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top style="thin">
          <color indexed="64"/>
        </top>
        <bottom/>
      </border>
    </dxf>
    <dxf>
      <fill>
        <patternFill patternType="solid">
          <fgColor indexed="64"/>
          <bgColor theme="0"/>
        </patternFill>
      </fill>
      <border diagonalUp="0" diagonalDown="0">
        <left style="thin">
          <color indexed="64"/>
        </left>
        <right/>
        <top style="thin">
          <color indexed="64"/>
        </top>
        <bottom style="thin">
          <color indexed="64"/>
        </bottom>
        <vertical/>
        <horizontal/>
      </border>
    </dxf>
    <dxf>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C5D3C0"/>
        </patternFill>
      </fill>
      <border diagonalUp="0" diagonalDown="0" outline="0">
        <left style="thin">
          <color indexed="64"/>
        </left>
        <right style="thin">
          <color indexed="64"/>
        </right>
        <top style="thin">
          <color indexed="64"/>
        </top>
        <bottom/>
      </border>
    </dxf>
    <dxf>
      <numFmt numFmtId="0" formatCode="General"/>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EBC6"/>
        </patternFill>
      </fill>
      <border diagonalUp="0" diagonalDown="0" outline="0">
        <left style="thin">
          <color indexed="64"/>
        </left>
        <right style="thin">
          <color indexed="64"/>
        </right>
        <top style="thin">
          <color indexed="64"/>
        </top>
        <bottom style="thin">
          <color indexed="64"/>
        </bottom>
      </border>
    </dxf>
    <dxf>
      <fill>
        <patternFill>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EBC6"/>
        </patternFill>
      </fill>
      <border diagonalUp="0" diagonalDown="0" outline="0">
        <left style="thin">
          <color indexed="64"/>
        </left>
        <right style="thin">
          <color indexed="64"/>
        </right>
        <top style="thin">
          <color indexed="64"/>
        </top>
        <bottom style="thin">
          <color indexed="64"/>
        </bottom>
      </border>
    </dxf>
    <dxf>
      <fill>
        <patternFill>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EBC6"/>
        </patternFill>
      </fill>
      <border outline="0">
        <right style="thin">
          <color indexed="64"/>
        </right>
      </border>
    </dxf>
    <dxf>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5B89B4"/>
        </patternFill>
      </fill>
      <alignment horizontal="right" vertical="bottom"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border diagonalUp="0" diagonalDown="0" outline="0">
        <left style="thin">
          <color indexed="64"/>
        </left>
        <right/>
        <top style="thin">
          <color indexed="64"/>
        </top>
        <bottom/>
      </border>
    </dxf>
    <dxf>
      <fill>
        <patternFill patternType="solid">
          <fgColor indexed="64"/>
          <bgColor theme="0"/>
        </patternFill>
      </fill>
      <border diagonalUp="0" diagonalDown="0" outline="0">
        <left style="thin">
          <color indexed="64"/>
        </left>
        <right/>
        <top style="thin">
          <color indexed="64"/>
        </top>
        <bottom style="thin">
          <color indexed="64"/>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right style="thin">
          <color indexed="64"/>
        </right>
        <top style="thin">
          <color indexed="64"/>
        </top>
        <bottom/>
      </border>
    </dxf>
    <dxf>
      <numFmt numFmtId="4" formatCode="#,##0.0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right style="thin">
          <color indexed="64"/>
        </right>
        <top style="thin">
          <color indexed="64"/>
        </top>
        <bottom style="thin">
          <color indexed="64"/>
        </bottom>
      </border>
    </dxf>
    <dxf>
      <fill>
        <patternFill patternType="solid">
          <fgColor indexed="64"/>
          <bgColor rgb="FFFFEBC6"/>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right/>
        <top style="thin">
          <color indexed="64"/>
        </top>
        <bottom style="thin">
          <color indexed="64"/>
        </bottom>
      </border>
    </dxf>
    <dxf>
      <fill>
        <patternFill patternType="solid">
          <fgColor indexed="64"/>
          <bgColor rgb="FFFFEBC6"/>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right/>
        <top style="thin">
          <color indexed="64"/>
        </top>
        <bottom style="thin">
          <color indexed="64"/>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top style="thin">
          <color indexed="64"/>
        </top>
        <bottom style="thin">
          <color indexed="64"/>
        </bottom>
      </border>
    </dxf>
    <dxf>
      <fill>
        <patternFill patternType="solid">
          <fgColor indexed="64"/>
          <bgColor theme="0"/>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5B89B4"/>
        </patternFill>
      </fill>
      <alignment horizontal="right" vertical="bottom"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border diagonalUp="0" diagonalDown="0" outline="0">
        <left style="thin">
          <color indexed="64"/>
        </left>
        <right/>
        <top style="thin">
          <color indexed="64"/>
        </top>
        <bottom/>
      </border>
    </dxf>
    <dxf>
      <fill>
        <patternFill patternType="solid">
          <fgColor indexed="64"/>
          <bgColor theme="0"/>
        </patternFill>
      </fill>
      <border diagonalUp="0" diagonalDown="0" outline="0">
        <left style="thin">
          <color indexed="64"/>
        </left>
        <right/>
        <top style="thin">
          <color indexed="64"/>
        </top>
        <bottom style="thin">
          <color indexed="64"/>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numFmt numFmtId="2" formatCode="0.00"/>
      <fill>
        <patternFill patternType="solid">
          <fgColor indexed="64"/>
          <bgColor rgb="FFC5D3C0"/>
        </patternFill>
      </fill>
      <border diagonalUp="0" diagonalDown="0" outline="0">
        <left/>
        <right style="thin">
          <color indexed="64"/>
        </right>
        <top style="thin">
          <color indexed="64"/>
        </top>
        <bottom/>
      </border>
    </dxf>
    <dxf>
      <numFmt numFmtId="0" formatCode="General"/>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style="thin">
          <color indexed="64"/>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5B89B4"/>
        </patternFill>
      </fill>
      <alignment horizontal="right" vertical="bottom"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border diagonalUp="0" diagonalDown="0" outline="0">
        <left style="thin">
          <color indexed="64"/>
        </left>
        <right/>
        <top style="thin">
          <color indexed="64"/>
        </top>
        <bottom style="thin">
          <color indexed="64"/>
        </bottom>
      </border>
    </dxf>
    <dxf>
      <numFmt numFmtId="164" formatCode="&quot;$&quot;#,##0.0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numFmt numFmtId="164" formatCode="&quot;$&quot;#,##0.0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numFmt numFmtId="164" formatCode="&quot;$&quot;#,##0.0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numFmt numFmtId="164" formatCode="&quot;$&quot;#,##0.0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numFmt numFmtId="164" formatCode="&quot;$&quot;#,##0.0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5B89B4"/>
        </patternFill>
      </fill>
      <alignment horizontal="right" vertical="bottom"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rgb="FFFFEBC6"/>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left style="thin">
          <color indexed="64"/>
        </left>
        <right style="thin">
          <color indexed="64"/>
        </right>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left style="thin">
          <color indexed="64"/>
        </left>
        <right style="thin">
          <color indexed="64"/>
        </right>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left style="thin">
          <color indexed="64"/>
        </left>
        <right style="thin">
          <color indexed="64"/>
        </right>
      </border>
    </dxf>
    <dxf>
      <numFmt numFmtId="165" formatCode="&quot;$&quot;#,##0"/>
      <fill>
        <patternFill patternType="solid">
          <fgColor indexed="64"/>
          <bgColor rgb="FFC5D3C0"/>
        </patternFill>
      </fill>
      <border diagonalUp="0" diagonalDown="0" outline="0">
        <left/>
        <right style="thin">
          <color indexed="64"/>
        </right>
        <top style="thin">
          <color indexed="64"/>
        </top>
        <bottom style="thin">
          <color indexed="64"/>
        </bottom>
      </border>
    </dxf>
    <dxf>
      <numFmt numFmtId="165" formatCode="&quot;$&quot;#,##0"/>
      <fill>
        <patternFill patternType="solid">
          <fgColor indexed="64"/>
          <bgColor rgb="FFC5D3C0"/>
        </patternFill>
      </fill>
      <border>
        <left style="thin">
          <color indexed="64"/>
        </left>
        <right style="thin">
          <color indexed="64"/>
        </right>
      </border>
    </dxf>
    <dxf>
      <numFmt numFmtId="165" formatCode="&quot;$&quot;#,##0"/>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FFEBC6"/>
        </patternFill>
      </fill>
      <border outline="0">
        <left style="thin">
          <color indexed="64"/>
        </left>
        <right style="thin">
          <color indexed="64"/>
        </right>
      </border>
    </dxf>
    <dxf>
      <numFmt numFmtId="165" formatCode="&quot;$&quot;#,##0"/>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FFEBC6"/>
        </patternFill>
      </fill>
      <border outline="0">
        <left style="thin">
          <color indexed="64"/>
        </left>
        <right style="thin">
          <color indexed="64"/>
        </right>
      </border>
    </dxf>
    <dxf>
      <numFmt numFmtId="165" formatCode="&quot;$&quot;#,##0"/>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FFEBC6"/>
        </patternFill>
      </fill>
      <border outline="0">
        <left style="thin">
          <color indexed="64"/>
        </left>
        <right style="thin">
          <color indexed="64"/>
        </right>
      </border>
    </dxf>
    <dxf>
      <numFmt numFmtId="165" formatCode="&quot;$&quot;#,##0"/>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FFEBC6"/>
        </patternFill>
      </fill>
      <border outline="0">
        <left style="thin">
          <color indexed="64"/>
        </left>
        <right style="thin">
          <color indexed="64"/>
        </right>
      </border>
    </dxf>
    <dxf>
      <numFmt numFmtId="165" formatCode="&quot;$&quot;#,##0"/>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FFEBC6"/>
        </patternFill>
      </fill>
      <border outline="0">
        <right style="thin">
          <color indexed="64"/>
        </right>
      </border>
    </dxf>
    <dxf>
      <fill>
        <patternFill patternType="solid">
          <fgColor indexed="64"/>
          <bgColor rgb="FFC5D3C0"/>
        </patternFill>
      </fill>
      <border diagonalUp="0" diagonalDown="0" outline="0">
        <left style="thin">
          <color indexed="64"/>
        </left>
        <right/>
        <top style="thin">
          <color indexed="64"/>
        </top>
        <bottom style="thin">
          <color indexed="64"/>
        </bottom>
      </border>
    </dxf>
    <dxf>
      <fill>
        <patternFill patternType="solid">
          <fgColor indexed="64"/>
          <bgColor theme="0"/>
        </patternFill>
      </fill>
      <border outline="0">
        <right style="thin">
          <color indexed="64"/>
        </right>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5B89B4"/>
        </patternFill>
      </fill>
      <alignment horizontal="right" vertical="bottom"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border diagonalUp="0" diagonalDown="0" outline="0">
        <left style="thin">
          <color indexed="64"/>
        </left>
        <right/>
        <top style="thin">
          <color indexed="64"/>
        </top>
        <bottom style="thin">
          <color indexed="64"/>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4" formatCode="&quot;$&quot;#,##0.00"/>
      <fill>
        <patternFill patternType="solid">
          <fgColor indexed="64"/>
          <bgColor theme="0"/>
        </patternFill>
      </fill>
    </dxf>
    <dxf>
      <numFmt numFmtId="164" formatCode="&quot;$&quot;#,##0.00"/>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rgb="FFFFEBC6"/>
        </patternFill>
      </fill>
      <border diagonalUp="0" diagonalDown="0" outline="0">
        <left style="thin">
          <color indexed="64"/>
        </left>
        <right style="thin">
          <color indexed="64"/>
        </right>
        <top style="thin">
          <color indexed="64"/>
        </top>
        <bottom style="thin">
          <color indexed="64"/>
        </bottom>
      </border>
    </dxf>
    <dxf>
      <numFmt numFmtId="164" formatCode="&quot;$&quot;#,##0.00"/>
      <fill>
        <patternFill patternType="solid">
          <fgColor indexed="64"/>
          <bgColor rgb="FFFFEBC6"/>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outline="0">
        <right style="thin">
          <color indexed="64"/>
        </right>
      </border>
    </dxf>
    <dxf>
      <border outline="0">
        <top style="thin">
          <color indexed="64"/>
        </top>
      </border>
    </dxf>
    <dxf>
      <border outline="0">
        <left style="thin">
          <color indexed="64"/>
        </left>
        <right style="thin">
          <color indexed="64"/>
        </right>
        <top style="medium">
          <color indexed="64"/>
        </top>
        <bottom style="medium">
          <color indexed="64"/>
        </bottom>
      </border>
    </dxf>
    <dxf>
      <border outline="0">
        <bottom style="thin">
          <color indexed="64"/>
        </bottom>
      </border>
    </dxf>
    <dxf>
      <numFmt numFmtId="164" formatCode="&quot;$&quot;#,##0.00"/>
      <fill>
        <patternFill patternType="solid">
          <fgColor indexed="64"/>
          <bgColor rgb="FF5B89B4"/>
        </patternFill>
      </fill>
      <border diagonalUp="0" diagonalDown="0" outline="0">
        <left style="thin">
          <color indexed="64"/>
        </left>
        <right style="thin">
          <color indexed="64"/>
        </right>
        <top/>
        <bottom/>
      </border>
    </dxf>
    <dxf>
      <numFmt numFmtId="164" formatCode="&quot;$&quot;#,##0.00"/>
    </dxf>
    <dxf>
      <numFmt numFmtId="164" formatCode="&quot;$&quot;#,##0.00"/>
    </dxf>
    <dxf>
      <numFmt numFmtId="4" formatCode="#,##0.00"/>
    </dxf>
    <dxf>
      <numFmt numFmtId="167" formatCode="#,##0.0000"/>
    </dxf>
    <dxf>
      <border>
        <top style="thin">
          <color indexed="64"/>
        </top>
      </border>
    </dxf>
    <dxf>
      <border outline="0">
        <left style="thin">
          <color indexed="64"/>
        </left>
        <right style="thin">
          <color indexed="64"/>
        </right>
        <top style="thin">
          <color indexed="64"/>
        </top>
        <bottom style="medium">
          <color indexed="64"/>
        </bottom>
      </border>
    </dxf>
    <dxf>
      <fill>
        <patternFill patternType="solid">
          <fgColor indexed="64"/>
          <bgColor rgb="FFC5D3C0"/>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5B89B4"/>
        </patternFill>
      </fill>
      <alignment horizontal="right" vertical="bottom" textRotation="0" wrapText="1" indent="0" justifyLastLine="0" shrinkToFit="0" readingOrder="0"/>
      <border diagonalUp="0" diagonalDown="0" outline="0">
        <left style="thin">
          <color indexed="64"/>
        </left>
        <right style="thin">
          <color indexed="64"/>
        </right>
        <top/>
        <bottom/>
      </border>
    </dxf>
    <dxf>
      <numFmt numFmtId="165" formatCode="&quot;$&quot;#,##0"/>
      <fill>
        <patternFill patternType="solid">
          <fgColor indexed="64"/>
          <bgColor rgb="FFC5D3C0"/>
        </patternFill>
      </fill>
      <border diagonalUp="0" diagonalDown="0">
        <left/>
        <right/>
        <top style="thin">
          <color indexed="64"/>
        </top>
        <bottom style="thin">
          <color indexed="64"/>
        </bottom>
      </border>
    </dxf>
    <dxf>
      <numFmt numFmtId="3" formatCode="#,##0"/>
      <fill>
        <patternFill patternType="solid">
          <fgColor indexed="64"/>
          <bgColor rgb="FFFFEBC6"/>
        </patternFill>
      </fill>
      <border diagonalUp="0" diagonalDown="0">
        <left style="thin">
          <color indexed="64"/>
        </left>
        <right/>
        <top style="thin">
          <color indexed="64"/>
        </top>
        <bottom style="thin">
          <color indexed="64"/>
        </bottom>
      </border>
    </dxf>
    <dxf>
      <border outline="0">
        <right style="thin">
          <color indexed="64"/>
        </right>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horizontal/>
      </border>
    </dxf>
    <dxf>
      <numFmt numFmtId="165" formatCode="&quot;$&quot;#,##0"/>
    </dxf>
    <dxf>
      <border outline="0">
        <top style="thin">
          <color indexed="64"/>
        </top>
      </border>
    </dxf>
    <dxf>
      <fill>
        <patternFill patternType="solid">
          <fgColor indexed="64"/>
          <bgColor rgb="FFC5D3C0"/>
        </patternFill>
      </fill>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5B89B4"/>
        </patternFill>
      </fill>
      <alignment horizontal="right" vertical="bottom"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border diagonalUp="0" diagonalDown="0" outline="0">
        <left style="thin">
          <color indexed="64"/>
        </left>
        <right/>
        <top style="thin">
          <color indexed="64"/>
        </top>
        <bottom/>
      </border>
    </dxf>
    <dxf>
      <fill>
        <patternFill patternType="solid">
          <fgColor indexed="64"/>
          <bgColor theme="0"/>
        </patternFill>
      </fill>
      <border diagonalUp="0" diagonalDown="0" outline="0">
        <left style="thin">
          <color indexed="64"/>
        </left>
        <right/>
        <top style="thin">
          <color indexed="64"/>
        </top>
        <bottom style="thin">
          <color indexed="64"/>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left style="thin">
          <color indexed="64"/>
        </left>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left style="thin">
          <color indexed="64"/>
        </left>
        <right style="thin">
          <color indexed="64"/>
        </right>
      </border>
    </dxf>
    <dxf>
      <fill>
        <patternFill patternType="solid">
          <fgColor indexed="64"/>
          <bgColor rgb="FFC5D3C0"/>
        </patternFill>
      </fill>
      <border diagonalUp="0" diagonalDown="0" outline="0">
        <left style="thin">
          <color indexed="64"/>
        </left>
        <right style="thin">
          <color indexed="64"/>
        </right>
        <top style="thin">
          <color indexed="64"/>
        </top>
        <bottom/>
      </border>
    </dxf>
    <dxf>
      <fill>
        <patternFill patternType="solid">
          <fgColor indexed="64"/>
          <bgColor rgb="FFFFEBC6"/>
        </patternFill>
      </fill>
      <border outline="0">
        <left style="thin">
          <color indexed="64"/>
        </left>
        <right style="thin">
          <color indexed="64"/>
        </right>
      </border>
    </dxf>
    <dxf>
      <fill>
        <patternFill patternType="solid">
          <fgColor indexed="64"/>
          <bgColor rgb="FFC5D3C0"/>
        </patternFill>
      </fill>
      <border diagonalUp="0" diagonalDown="0" outline="0">
        <left style="thin">
          <color indexed="64"/>
        </left>
        <right style="thin">
          <color indexed="64"/>
        </right>
        <top style="thin">
          <color indexed="64"/>
        </top>
        <bottom/>
      </border>
    </dxf>
    <dxf>
      <fill>
        <patternFill patternType="solid">
          <fgColor indexed="64"/>
          <bgColor rgb="FFFFEBC6"/>
        </patternFill>
      </fill>
      <border outline="0">
        <left style="thin">
          <color indexed="64"/>
        </left>
        <right style="thin">
          <color indexed="64"/>
        </right>
      </border>
    </dxf>
    <dxf>
      <fill>
        <patternFill patternType="solid">
          <fgColor indexed="64"/>
          <bgColor rgb="FFC5D3C0"/>
        </patternFill>
      </fill>
      <border diagonalUp="0" diagonalDown="0" outline="0">
        <left style="thin">
          <color indexed="64"/>
        </left>
        <right style="thin">
          <color indexed="64"/>
        </right>
        <top style="thin">
          <color indexed="64"/>
        </top>
        <bottom/>
      </border>
    </dxf>
    <dxf>
      <fill>
        <patternFill patternType="solid">
          <fgColor indexed="64"/>
          <bgColor rgb="FFFFEBC6"/>
        </patternFill>
      </fill>
      <border outline="0">
        <right style="thin">
          <color indexed="64"/>
        </right>
      </border>
    </dxf>
    <dxf>
      <fill>
        <patternFill patternType="solid">
          <fgColor indexed="64"/>
          <bgColor rgb="FFC5D3C0"/>
        </patternFill>
      </fill>
      <border diagonalUp="0" diagonalDown="0" outline="0">
        <left style="thin">
          <color indexed="64"/>
        </left>
        <right style="thin">
          <color indexed="64"/>
        </right>
        <top style="thin">
          <color indexed="64"/>
        </top>
        <bottom/>
      </border>
    </dxf>
    <dxf>
      <border outline="0">
        <right style="thin">
          <color indexed="64"/>
        </right>
      </border>
    </dxf>
    <dxf>
      <fill>
        <patternFill patternType="solid">
          <fgColor indexed="64"/>
          <bgColor rgb="FFC5D3C0"/>
        </patternFill>
      </fill>
      <border diagonalUp="0" diagonalDown="0" outline="0">
        <left style="thin">
          <color indexed="64"/>
        </left>
        <right style="thin">
          <color indexed="64"/>
        </right>
        <top style="thin">
          <color indexed="64"/>
        </top>
        <bottom/>
      </border>
    </dxf>
    <dxf>
      <fill>
        <patternFill patternType="solid">
          <fgColor indexed="64"/>
          <bgColor rgb="FFC5D3C0"/>
        </patternFill>
      </fill>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5B89B4"/>
        </patternFill>
      </fill>
      <alignment horizontal="right" vertical="bottom"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border diagonalUp="0" diagonalDown="0" outline="0">
        <left style="thin">
          <color indexed="64"/>
        </left>
        <right/>
        <top style="thin">
          <color indexed="64"/>
        </top>
        <bottom/>
      </border>
    </dxf>
    <dxf>
      <fill>
        <patternFill>
          <fgColor indexed="64"/>
          <bgColor theme="0"/>
        </patternFill>
      </fill>
      <border diagonalUp="0" diagonalDown="0" outline="0">
        <left style="thin">
          <color indexed="64"/>
        </left>
        <right/>
        <top style="thin">
          <color indexed="64"/>
        </top>
        <bottom style="thin">
          <color indexed="64"/>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EBC6"/>
        </patternFill>
      </fill>
      <border outline="0">
        <left style="thin">
          <color indexed="64"/>
        </left>
        <right style="thin">
          <color indexed="64"/>
        </right>
      </border>
    </dxf>
    <dxf>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EBC6"/>
        </patternFill>
      </fill>
      <border outline="0">
        <left style="thin">
          <color indexed="64"/>
        </left>
        <right style="thin">
          <color indexed="64"/>
        </right>
      </border>
    </dxf>
    <dxf>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EBC6"/>
        </patternFill>
      </fill>
      <border outline="0">
        <right style="thin">
          <color indexed="64"/>
        </right>
      </border>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style="thin">
          <color indexed="64"/>
        </left>
        <right/>
        <top style="thin">
          <color indexed="64"/>
        </top>
        <bottom style="thin">
          <color indexed="64"/>
        </bottom>
      </border>
    </dxf>
    <dxf>
      <fill>
        <patternFill>
          <fgColor indexed="64"/>
          <bgColor theme="0"/>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5B89B4"/>
        </patternFill>
      </fill>
      <alignment horizontal="right" vertical="bottom"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border diagonalUp="0" diagonalDown="0" outline="0">
        <left style="thin">
          <color indexed="64"/>
        </left>
        <right/>
        <top style="thin">
          <color indexed="64"/>
        </top>
        <bottom/>
      </border>
    </dxf>
    <dxf>
      <fill>
        <patternFill patternType="solid">
          <fgColor indexed="64"/>
          <bgColor theme="0"/>
        </patternFill>
      </fill>
      <border diagonalUp="0" diagonalDown="0" outline="0">
        <left style="thin">
          <color indexed="64"/>
        </left>
        <right/>
        <top style="thin">
          <color indexed="64"/>
        </top>
        <bottom style="thin">
          <color indexed="64"/>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left style="thin">
          <color indexed="64"/>
        </left>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left style="thin">
          <color indexed="64"/>
        </left>
        <right style="thin">
          <color indexed="64"/>
        </right>
      </border>
    </dxf>
    <dxf>
      <fill>
        <patternFill patternType="solid">
          <fgColor indexed="64"/>
          <bgColor rgb="FFC5D3C0"/>
        </patternFill>
      </fill>
      <border diagonalUp="0" diagonalDown="0" outline="0">
        <left style="thin">
          <color indexed="64"/>
        </left>
        <right style="thin">
          <color indexed="64"/>
        </right>
        <top style="thin">
          <color indexed="64"/>
        </top>
        <bottom/>
      </border>
    </dxf>
    <dxf>
      <fill>
        <patternFill patternType="solid">
          <fgColor indexed="64"/>
          <bgColor rgb="FFFFEBC6"/>
        </patternFill>
      </fill>
      <border outline="0">
        <left style="thin">
          <color indexed="64"/>
        </left>
        <right style="thin">
          <color indexed="64"/>
        </right>
      </border>
    </dxf>
    <dxf>
      <fill>
        <patternFill patternType="solid">
          <fgColor indexed="64"/>
          <bgColor rgb="FFC5D3C0"/>
        </patternFill>
      </fill>
      <border diagonalUp="0" diagonalDown="0" outline="0">
        <left style="thin">
          <color indexed="64"/>
        </left>
        <right style="thin">
          <color indexed="64"/>
        </right>
        <top style="thin">
          <color indexed="64"/>
        </top>
        <bottom/>
      </border>
    </dxf>
    <dxf>
      <fill>
        <patternFill patternType="solid">
          <fgColor indexed="64"/>
          <bgColor rgb="FFFFEBC6"/>
        </patternFill>
      </fill>
      <border outline="0">
        <left style="thin">
          <color indexed="64"/>
        </left>
        <right style="thin">
          <color indexed="64"/>
        </right>
      </border>
    </dxf>
    <dxf>
      <fill>
        <patternFill patternType="solid">
          <fgColor indexed="64"/>
          <bgColor rgb="FFC5D3C0"/>
        </patternFill>
      </fill>
      <border diagonalUp="0" diagonalDown="0" outline="0">
        <left/>
        <right style="thin">
          <color indexed="64"/>
        </right>
        <top style="thin">
          <color indexed="64"/>
        </top>
        <bottom/>
      </border>
    </dxf>
    <dxf>
      <fill>
        <patternFill patternType="solid">
          <fgColor indexed="64"/>
          <bgColor rgb="FFFFEBC6"/>
        </patternFill>
      </fill>
      <border outline="0">
        <right style="thin">
          <color indexed="64"/>
        </right>
      </border>
    </dxf>
    <dxf>
      <fill>
        <patternFill patternType="solid">
          <fgColor indexed="64"/>
          <bgColor rgb="FFC5D3C0"/>
        </patternFill>
      </fill>
      <border diagonalUp="0" diagonalDown="0" outline="0">
        <left/>
        <right style="thin">
          <color indexed="64"/>
        </right>
        <top style="thin">
          <color indexed="64"/>
        </top>
        <bottom style="thin">
          <color indexed="64"/>
        </bottom>
      </border>
    </dxf>
    <dxf>
      <border outline="0">
        <right style="thin">
          <color indexed="64"/>
        </right>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C5D3C0"/>
        </patternFill>
      </fill>
      <border diagonalUp="0" diagonalDown="0" outline="0">
        <left style="thin">
          <color indexed="64"/>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5B89B4"/>
        </patternFill>
      </fill>
      <alignment horizontal="right" vertical="bottom" textRotation="0" wrapText="0" indent="0" justifyLastLine="0" shrinkToFit="0" readingOrder="0"/>
      <border diagonalUp="0" diagonalDown="0" outline="0">
        <left style="thin">
          <color indexed="64"/>
        </left>
        <right style="thin">
          <color indexed="64"/>
        </right>
        <top/>
        <bottom/>
      </border>
    </dxf>
    <dxf>
      <border diagonalUp="0" diagonalDown="0" outline="0">
        <left style="thin">
          <color indexed="64"/>
        </left>
        <right/>
        <top style="thin">
          <color indexed="64"/>
        </top>
        <bottom/>
      </border>
    </dxf>
    <dxf>
      <fill>
        <patternFill patternType="solid">
          <fgColor indexed="64"/>
          <bgColor theme="0"/>
        </patternFill>
      </fill>
      <border diagonalUp="0" diagonalDown="0" outline="0">
        <left style="thin">
          <color indexed="64"/>
        </left>
        <right/>
        <top style="thin">
          <color indexed="64"/>
        </top>
        <bottom style="thin">
          <color indexed="64"/>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FFEBC6"/>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style="thin">
          <color indexed="64"/>
        </left>
        <right style="thin">
          <color indexed="64"/>
        </right>
        <top style="thin">
          <color indexed="64"/>
        </top>
        <bottom/>
      </border>
    </dxf>
    <dxf>
      <numFmt numFmtId="0" formatCode="General"/>
      <fill>
        <patternFill patternType="solid">
          <fgColor indexed="64"/>
          <bgColor rgb="FFFFEBC6"/>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right style="thin">
          <color indexed="64"/>
        </right>
        <top style="thin">
          <color indexed="64"/>
        </top>
        <bottom/>
      </border>
    </dxf>
    <dxf>
      <numFmt numFmtId="0" formatCode="General"/>
      <fill>
        <patternFill patternType="solid">
          <fgColor indexed="64"/>
          <bgColor rgb="FFFFEBC6"/>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style="thin">
          <color indexed="64"/>
        </left>
        <right/>
        <top style="thin">
          <color indexed="64"/>
        </top>
        <bottom style="thin">
          <color indexed="64"/>
        </bottom>
      </border>
    </dxf>
    <dxf>
      <fill>
        <patternFill patternType="solid">
          <fgColor indexed="64"/>
          <bgColor theme="0"/>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5B89B4"/>
        </patternFill>
      </fill>
      <alignment horizontal="right" vertical="bottom"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border diagonalUp="0" diagonalDown="0" outline="0">
        <left style="thin">
          <color indexed="64"/>
        </left>
        <right/>
        <top style="thin">
          <color indexed="64"/>
        </top>
        <bottom style="thin">
          <color indexed="64"/>
        </bottom>
      </border>
    </dxf>
    <dxf>
      <numFmt numFmtId="3" formatCode="#,##0"/>
      <fill>
        <patternFill patternType="solid">
          <fgColor indexed="64"/>
          <bgColor rgb="FFFFEBC6"/>
        </patternFill>
      </fill>
      <border diagonalUp="0" diagonalDown="0" outline="0">
        <left style="thin">
          <color indexed="64"/>
        </left>
        <right style="thin">
          <color indexed="64"/>
        </right>
        <top style="thin">
          <color indexed="64"/>
        </top>
        <bottom style="thin">
          <color indexed="64"/>
        </bottom>
      </border>
    </dxf>
    <dxf>
      <numFmt numFmtId="3" formatCode="#,##0"/>
      <fill>
        <patternFill patternType="solid">
          <fgColor indexed="64"/>
          <bgColor rgb="FFFFEBC6"/>
        </patternFill>
      </fill>
      <border diagonalUp="0" diagonalDown="0" outline="0">
        <left style="thin">
          <color indexed="64"/>
        </left>
        <right style="thin">
          <color indexed="64"/>
        </right>
        <top style="thin">
          <color indexed="64"/>
        </top>
        <bottom style="thin">
          <color indexed="64"/>
        </bottom>
      </border>
    </dxf>
    <dxf>
      <numFmt numFmtId="3" formatCode="#,##0"/>
      <fill>
        <patternFill patternType="solid">
          <fgColor indexed="64"/>
          <bgColor rgb="FFFFEBC6"/>
        </patternFill>
      </fill>
      <border diagonalUp="0" diagonalDown="0" outline="0">
        <left style="thin">
          <color indexed="64"/>
        </left>
        <right style="thin">
          <color indexed="64"/>
        </right>
        <top style="thin">
          <color indexed="64"/>
        </top>
        <bottom style="thin">
          <color indexed="64"/>
        </bottom>
      </border>
    </dxf>
    <dxf>
      <numFmt numFmtId="164" formatCode="&quot;$&quot;#,##0.0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numFmt numFmtId="164" formatCode="&quot;$&quot;#,##0.00"/>
      <fill>
        <patternFill patternType="solid">
          <fgColor indexed="64"/>
          <bgColor rgb="FFFFEBC6"/>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EBC6"/>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5B89B4"/>
        </patternFill>
      </fill>
      <alignment horizontal="right" vertical="bottom" textRotation="0" wrapText="0" indent="0" justifyLastLine="0" shrinkToFit="0" readingOrder="0"/>
      <border diagonalUp="0" diagonalDown="0" outline="0">
        <left style="thin">
          <color indexed="64"/>
        </left>
        <right style="thin">
          <color indexed="64"/>
        </right>
        <top/>
        <bottom/>
      </border>
    </dxf>
    <dxf>
      <border outline="0">
        <top style="thin">
          <color indexed="64"/>
        </top>
      </border>
    </dxf>
    <dxf>
      <fill>
        <patternFill patternType="solid">
          <fgColor indexed="64"/>
          <bgColor rgb="FFC5D3C0"/>
        </patternFill>
      </fill>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5B89B4"/>
        </patternFill>
      </fill>
      <alignment horizontal="right" vertical="bottom" textRotation="0" wrapText="0" indent="0" justifyLastLine="0" shrinkToFit="0" readingOrder="0"/>
      <border diagonalUp="0" diagonalDown="0" outline="0">
        <left style="thin">
          <color indexed="64"/>
        </left>
        <right style="thin">
          <color indexed="64"/>
        </right>
        <top/>
        <bottom/>
      </border>
    </dxf>
    <dxf>
      <border diagonalUp="0" diagonalDown="0" outline="0">
        <left style="thin">
          <color indexed="64"/>
        </left>
        <right/>
        <top style="thin">
          <color indexed="64"/>
        </top>
        <bottom/>
      </border>
    </dxf>
    <dxf>
      <border diagonalUp="0" diagonalDown="0" outline="0">
        <left style="thin">
          <color indexed="64"/>
        </left>
        <right/>
        <top style="thin">
          <color indexed="64"/>
        </top>
        <bottom style="thin">
          <color indexed="64"/>
        </bottom>
      </border>
    </dxf>
    <dxf>
      <numFmt numFmtId="3" formatCode="#,##0"/>
      <fill>
        <patternFill patternType="solid">
          <fgColor indexed="64"/>
          <bgColor rgb="FFC5D3C0"/>
        </patternFill>
      </fill>
      <border diagonalUp="0" diagonalDown="0" outline="0">
        <left style="thin">
          <color indexed="64"/>
        </left>
        <right style="thin">
          <color indexed="64"/>
        </right>
        <top style="thin">
          <color indexed="64"/>
        </top>
        <bottom/>
      </border>
    </dxf>
    <dxf>
      <numFmt numFmtId="3" formatCode="#,##0"/>
      <fill>
        <patternFill>
          <fgColor indexed="64"/>
          <bgColor rgb="FFFFEBC6"/>
        </patternFill>
      </fill>
      <border diagonalUp="0" diagonalDown="0" outline="0">
        <left style="thin">
          <color indexed="64"/>
        </left>
        <right style="thin">
          <color indexed="64"/>
        </right>
        <top style="thin">
          <color indexed="64"/>
        </top>
        <bottom style="thin">
          <color indexed="64"/>
        </bottom>
      </border>
    </dxf>
    <dxf>
      <numFmt numFmtId="3" formatCode="#,##0"/>
      <fill>
        <patternFill patternType="solid">
          <fgColor indexed="64"/>
          <bgColor rgb="FFC5D3C0"/>
        </patternFill>
      </fill>
      <border diagonalUp="0" diagonalDown="0" outline="0">
        <left style="thin">
          <color indexed="64"/>
        </left>
        <right style="thin">
          <color indexed="64"/>
        </right>
        <top style="thin">
          <color indexed="64"/>
        </top>
        <bottom/>
      </border>
    </dxf>
    <dxf>
      <numFmt numFmtId="3" formatCode="#,##0"/>
      <fill>
        <patternFill>
          <fgColor indexed="64"/>
          <bgColor rgb="FFFFEBC6"/>
        </patternFill>
      </fill>
      <border diagonalUp="0" diagonalDown="0" outline="0">
        <left style="thin">
          <color indexed="64"/>
        </left>
        <right style="thin">
          <color indexed="64"/>
        </right>
        <top style="thin">
          <color indexed="64"/>
        </top>
        <bottom style="thin">
          <color indexed="64"/>
        </bottom>
      </border>
    </dxf>
    <dxf>
      <numFmt numFmtId="3" formatCode="#,##0"/>
      <fill>
        <patternFill patternType="solid">
          <fgColor indexed="64"/>
          <bgColor rgb="FFC5D3C0"/>
        </patternFill>
      </fill>
      <border diagonalUp="0" diagonalDown="0" outline="0">
        <left style="thin">
          <color indexed="64"/>
        </left>
        <right style="thin">
          <color indexed="64"/>
        </right>
        <top style="thin">
          <color indexed="64"/>
        </top>
        <bottom/>
      </border>
    </dxf>
    <dxf>
      <numFmt numFmtId="3" formatCode="#,##0"/>
      <fill>
        <patternFill>
          <fgColor indexed="64"/>
          <bgColor rgb="FFFFEBC6"/>
        </patternFill>
      </fill>
      <border diagonalUp="0" diagonalDown="0" outline="0">
        <left style="thin">
          <color indexed="64"/>
        </left>
        <right style="thin">
          <color indexed="64"/>
        </right>
        <top style="thin">
          <color indexed="64"/>
        </top>
        <bottom style="thin">
          <color indexed="64"/>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fgColor indexed="64"/>
          <bgColor rgb="FFFFEBC6"/>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right style="thin">
          <color indexed="64"/>
        </right>
        <top style="thin">
          <color indexed="64"/>
        </top>
        <bottom/>
      </border>
    </dxf>
    <dxf>
      <numFmt numFmtId="0" formatCode="General"/>
      <fill>
        <patternFill>
          <fgColor indexed="64"/>
          <bgColor rgb="FFFFEBC6"/>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C5D3C0"/>
        </patternFill>
      </fill>
      <border diagonalUp="0" diagonalDown="0" outline="0">
        <left style="thin">
          <color indexed="64"/>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5B89B4"/>
        </patternFill>
      </fill>
      <alignment horizontal="right" vertical="bottom"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border diagonalUp="0" diagonalDown="0" outline="0">
        <left style="thin">
          <color indexed="64"/>
        </left>
        <right/>
        <top style="thin">
          <color indexed="64"/>
        </top>
        <bottom/>
      </border>
    </dxf>
    <dxf>
      <fill>
        <patternFill patternType="solid">
          <fgColor indexed="64"/>
          <bgColor theme="0"/>
        </patternFill>
      </fill>
      <border diagonalUp="0" diagonalDown="0" outline="0">
        <left style="thin">
          <color indexed="64"/>
        </left>
        <right/>
        <top style="thin">
          <color indexed="64"/>
        </top>
        <bottom style="thin">
          <color indexed="64"/>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4" formatCode="&quot;$&quot;#,##0.0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4" formatCode="&quot;$&quot;#,##0.00"/>
      <fill>
        <patternFill patternType="solid">
          <fgColor indexed="64"/>
          <bgColor rgb="FFC5D3C0"/>
        </patternFill>
      </fill>
      <border diagonalUp="0" diagonalDown="0" outline="0">
        <left style="thin">
          <color indexed="64"/>
        </left>
        <right/>
        <top/>
        <bottom/>
      </border>
    </dxf>
    <dxf>
      <fill>
        <patternFill patternType="solid">
          <fgColor indexed="64"/>
          <bgColor rgb="FFC5D3C0"/>
        </patternFill>
      </fill>
      <border diagonalUp="0" diagonalDown="0" outline="0">
        <left/>
        <right style="thin">
          <color indexed="64"/>
        </right>
        <top style="thin">
          <color indexed="64"/>
        </top>
        <bottom/>
      </border>
    </dxf>
    <dxf>
      <fill>
        <patternFill patternType="solid">
          <fgColor indexed="64"/>
          <bgColor theme="0"/>
        </patternFill>
      </fill>
      <border diagonalUp="0" diagonalDown="0" outline="0">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top style="thin">
          <color indexed="64"/>
        </top>
        <bottom style="thin">
          <color indexed="64"/>
        </bottom>
      </border>
    </dxf>
    <dxf>
      <fill>
        <patternFill patternType="solid">
          <fgColor indexed="64"/>
          <bgColor theme="0"/>
        </patternFill>
      </fill>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5B89B4"/>
        </patternFill>
      </fill>
      <alignment horizontal="right" vertical="bottom" textRotation="0" wrapText="0" indent="0" justifyLastLine="0" shrinkToFit="0" readingOrder="0"/>
      <border diagonalUp="0" diagonalDown="0" outline="0">
        <left style="thin">
          <color indexed="64"/>
        </left>
        <right style="thin">
          <color indexed="64"/>
        </right>
        <top/>
        <bottom/>
      </border>
    </dxf>
    <dxf>
      <numFmt numFmtId="165" formatCode="&quot;$&quot;#,##0"/>
      <fill>
        <patternFill>
          <fgColor indexed="64"/>
          <bgColor rgb="FFC5D3C0"/>
        </patternFill>
      </fill>
      <border outline="0">
        <left style="thin">
          <color indexed="64"/>
        </left>
        <right style="thin">
          <color indexed="64"/>
        </right>
      </border>
    </dxf>
    <dxf>
      <numFmt numFmtId="164" formatCode="&quot;$&quot;#,##0.00"/>
      <fill>
        <patternFill>
          <fgColor indexed="64"/>
          <bgColor rgb="FFFFEBC6"/>
        </patternFill>
      </fill>
      <border outline="0">
        <left style="thin">
          <color indexed="64"/>
        </left>
        <right style="thin">
          <color indexed="64"/>
        </right>
      </border>
    </dxf>
    <dxf>
      <fill>
        <patternFill>
          <fgColor indexed="64"/>
          <bgColor rgb="FFFFEBC6"/>
        </patternFill>
      </fill>
      <border outline="0">
        <right style="thin">
          <color indexed="64"/>
        </right>
      </border>
    </dxf>
    <dxf>
      <font>
        <b val="0"/>
      </font>
    </dxf>
    <dxf>
      <border outline="0">
        <left style="thin">
          <color indexed="64"/>
        </left>
        <right style="thin">
          <color indexed="64"/>
        </right>
        <top style="medium">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5B89B4"/>
        </patternFill>
      </fill>
      <alignment horizontal="righ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89B4"/>
      <color rgb="FFC5D3C0"/>
      <color rgb="FFFFEBC6"/>
      <color rgb="FFD87C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9398B6-7FEA-4761-906F-81A8200B8A8A}" name="YieldRevenueTable" displayName="YieldRevenueTable" ref="B5:F8" totalsRowCount="1" headerRowDxfId="351" headerRowBorderDxfId="350" tableBorderDxfId="349">
  <autoFilter ref="B5:F7" xr:uid="{A074ABC2-336D-4AE0-BFC3-1545C1888641}">
    <filterColumn colId="0" hiddenButton="1"/>
    <filterColumn colId="1" hiddenButton="1"/>
    <filterColumn colId="2" hiddenButton="1"/>
    <filterColumn colId="3" hiddenButton="1"/>
    <filterColumn colId="4" hiddenButton="1"/>
  </autoFilter>
  <tableColumns count="5">
    <tableColumn id="1" xr3:uid="{7F72439C-8997-434A-A38D-44B69CA770E9}" name="Product Type, Quality, Grade" totalsRowLabel="Gross Shipping Point Revenue" dataDxfId="348" totalsRowDxfId="44"/>
    <tableColumn id="2" xr3:uid="{3BFDDC85-1CEC-43CC-8B3D-911DDCD9C328}" name="Unit" totalsRowDxfId="43"/>
    <tableColumn id="3" xr3:uid="{8E60C821-34EF-40B6-BBDF-C67E000C8A58}" name="Units/Acre" totalsRowFunction="sum" dataDxfId="347" totalsRowDxfId="42"/>
    <tableColumn id="4" xr3:uid="{478230EB-E94E-491B-9466-75DD20140F6B}" name="Price/Unit" totalsRowFunction="custom" dataDxfId="346" totalsRowDxfId="41">
      <totalsRowFormula>IF(YieldRevenueTable[[#Totals],[Units/Acre]]=0,0,YieldRevenueTable[[#Totals],[Revenue/Acre]]/YieldRevenueTable[[#Totals],[Units/Acre]])</totalsRowFormula>
    </tableColumn>
    <tableColumn id="5" xr3:uid="{5EF642B2-D650-4F6E-B0BA-ACBCE646D018}" name="Revenue/Acre" totalsRowFunction="sum" dataDxfId="345" totalsRowDxfId="40">
      <calculatedColumnFormula>YieldRevenueTable[[#This Row],[Units/Acre]]*YieldRevenueTable[[#This Row],[Price/Unit]]</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F679DDE-BD7F-4F57-A0AE-97BED925600D}" name="MachOwnershipTable" displayName="MachOwnershipTable" ref="B12:K23" totalsRowCount="1" headerRowDxfId="207" totalsRowDxfId="204" headerRowBorderDxfId="206" tableBorderDxfId="205" totalsRowBorderDxfId="203">
  <autoFilter ref="B12:K22" xr:uid="{3738DD0B-D85D-491C-A661-BC2EC713848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F413443-F6DC-4F99-977D-30013FCD9AD7}" name="Machinery Item" totalsRowLabel="Total" totalsRowDxfId="9"/>
    <tableColumn id="2" xr3:uid="{009FBF83-7D18-4C88-AAE8-129BBBB6CF17}" name="List Price" totalsRowFunction="sum" totalsRowDxfId="8"/>
    <tableColumn id="3" xr3:uid="{B7BD151D-F753-4660-B446-8187B2D29ED6}" name="Use Life (Years)" totalsRowDxfId="7"/>
    <tableColumn id="4" xr3:uid="{BA5F14CA-B51F-449D-80EB-5C6F1D91CAC3}" name="Salvage Value" totalsRowDxfId="6"/>
    <tableColumn id="7" xr3:uid="{431710E9-BC71-4A3A-A4A7-B52F7A61E8EF}" name="Tax Ins Hsg" totalsRowFunction="sum" dataDxfId="202" totalsRowDxfId="5">
      <calculatedColumnFormula>0.01*((MachOwnershipTable[[#This Row],[List Price]]+MachOwnershipTable[[#This Row],[Salvage Value]])/2)</calculatedColumnFormula>
    </tableColumn>
    <tableColumn id="8" xr3:uid="{6064BAE0-AC7E-4A11-934C-81DF2CC6B2BB}" name="Capital Recovery" totalsRowFunction="sum" dataDxfId="201" totalsRowDxfId="4">
      <calculatedColumnFormula>IF(ISBLANK(MachOwnershipTable[[#This Row],[Use Life (Years)]]),0,PMT(MachineInterestRate,MachOwnershipTable[[#This Row],[Use Life (Years)]],-MachOwnershipTable[[#This Row],[List Price]],MachOwnershipTable[[#This Row],[Salvage Value]],0))</calculatedColumnFormula>
    </tableColumn>
    <tableColumn id="9" xr3:uid="{48458E7B-C239-458D-B49F-14F5A0F09474}" name="Total Annual Cost" totalsRowFunction="sum" dataDxfId="200" totalsRowDxfId="3">
      <calculatedColumnFormula>SUM(F13:G13)</calculatedColumnFormula>
    </tableColumn>
    <tableColumn id="12" xr3:uid="{EF485542-F9EC-4A6F-8D35-CC86A9F7D4A2}" name="Crop Acres per Year" totalsRowFunction="custom" dataDxfId="199" totalsRowDxfId="2">
      <totalsRowFormula>MachOwnershipTable[[#Totals],[Total Annual Cost]]/MachOwnershipTable[[#Totals],[Cost per Crop Acre]]</totalsRowFormula>
    </tableColumn>
    <tableColumn id="13" xr3:uid="{2BE62793-29A1-44A9-AF43-AA73D5517B04}" name="Cost per Crop Acre" totalsRowFunction="sum" dataDxfId="198" totalsRowDxfId="1">
      <calculatedColumnFormula>IF(ISBLANK(MachOwnershipTable[[#This Row],[Crop Acres per Year]]),MachOwnershipTable[Total Annual Cost],MachOwnershipTable[[#This Row],[Total Annual Cost]]/MachOwnershipTable[[#This Row],[Crop Acres per Year]])</calculatedColumnFormula>
    </tableColumn>
    <tableColumn id="10" xr3:uid="{55A3A48D-D786-4915-A89B-ED1691C50ABF}" name="Notes" totalsRowDxfId="0"/>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D94B22-A642-46D9-B51C-0C2F74730380}" name="MachOperationTable" displayName="MachOperationTable" ref="B26:K35" totalsRowCount="1" headerRowDxfId="197" dataDxfId="195" headerRowBorderDxfId="196" tableBorderDxfId="194" totalsRowBorderDxfId="193">
  <autoFilter ref="B26:K34" xr:uid="{8E81098B-F747-4885-87F0-1F3F370FB2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C5BCC2AA-F85A-4E56-835D-E7926F910677}" name="Activity, Tractor, &amp; Implement" totalsRowLabel="Total" totalsRowDxfId="38"/>
    <tableColumn id="3" xr3:uid="{FA08AA6E-F337-4696-85D8-D5EEB1B17E99}" name="Acres per Hour" totalsRowDxfId="37"/>
    <tableColumn id="4" xr3:uid="{1258A59F-AF68-4BD0-B09C-26A65E09BDD8}" name="Times Over" totalsRowDxfId="36"/>
    <tableColumn id="5" xr3:uid="{E7635C7F-F898-4EF0-99B8-BCD289BF5DA3}" name="Machine Hours/Acre" totalsRowFunction="sum" dataDxfId="192" totalsRowDxfId="35">
      <calculatedColumnFormula>IF(ISBLANK(MachOperationTable[[#This Row],[Times Over]]),0,(1/MachOperationTable[[#This Row],[Acres per Hour]])*MachOperationTable[[#This Row],[Times Over]])</calculatedColumnFormula>
    </tableColumn>
    <tableColumn id="6" xr3:uid="{06D7D8B1-99E9-4A9A-A086-26D7BE58D6E8}" name="Labor Hours/Acre" totalsRowFunction="sum" dataDxfId="191" totalsRowDxfId="34">
      <calculatedColumnFormula>MachOperationTable[[#This Row],[Machine Hours/Acre]]*1.1</calculatedColumnFormula>
    </tableColumn>
    <tableColumn id="7" xr3:uid="{0FAA9695-BB24-4C34-BE6A-A607CC748631}" name="Labor Cost/Acre" totalsRowFunction="sum" dataDxfId="190" totalsRowDxfId="33">
      <calculatedColumnFormula>MachOperationTable[[#This Row],[Labor Hours/Acre]]*MachineLaborWage</calculatedColumnFormula>
    </tableColumn>
    <tableColumn id="8" xr3:uid="{F297D90B-C853-4B65-98E2-E8C906E089CF}" name="Fuel Cost/Acre" totalsRowFunction="sum" dataDxfId="189" totalsRowDxfId="32">
      <calculatedColumnFormula>0.06*0.73*#REF!*MachOperationTable[[#This Row],[Machine Hours/Acre]]*DieselFuelPrice</calculatedColumnFormula>
    </tableColumn>
    <tableColumn id="9" xr3:uid="{38F9AF12-AA05-461D-8D1B-A74810C2921C}" name="Repair Cost/Acre" totalsRowFunction="sum" totalsRowDxfId="31">
      <calculatedColumnFormula>#REF!*MachOperationTable[[#This Row],[Machine Hours/Acre]]</calculatedColumnFormula>
    </tableColumn>
    <tableColumn id="10" xr3:uid="{DA7D803C-C1DD-4EB2-B902-CBB3AC124136}" name="Total Cost/Acre" totalsRowFunction="sum" totalsRowDxfId="30">
      <calculatedColumnFormula>SUM(G27:I27)</calculatedColumnFormula>
    </tableColumn>
    <tableColumn id="11" xr3:uid="{10D27590-9084-4228-9C17-DADB7AC22B0A}" name="Notes" totalsRowDxfId="29"/>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67F6DE6-CB39-4C34-98D8-307AE81EB3DF}" name="CustomMachineTable" displayName="CustomMachineTable" ref="B38:K41" totalsRowCount="1" headerRowDxfId="188" headerRowBorderDxfId="187" tableBorderDxfId="186" totalsRowBorderDxfId="185">
  <autoFilter ref="B38:K40" xr:uid="{253A8F5F-DF6D-4DD2-91A7-F590B008DCB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82AC1B0-FD52-4D7F-820D-0F26B46CD42F}" name="Activity" totalsRowLabel="Total" dataDxfId="184" totalsRowDxfId="19"/>
    <tableColumn id="2" xr3:uid="{0E58AE4F-E1E1-4CE5-805C-8E2C7FA39AAB}" name="Cost/App per Acre" dataDxfId="183" totalsRowDxfId="18"/>
    <tableColumn id="3" xr3:uid="{F2183EB8-590E-46A6-9A8E-89AEB212EFE4}" name="Applications (Times Over)" dataDxfId="182" totalsRowDxfId="17"/>
    <tableColumn id="13" xr3:uid="{2CEEDDC3-0045-43C0-9467-4E7A8B58A838}" name="Column8" dataDxfId="181" totalsRowDxfId="16"/>
    <tableColumn id="12" xr3:uid="{2F758E37-B478-46E5-8B54-51C0FC7FD661}" name="Column7" dataDxfId="180" totalsRowDxfId="15"/>
    <tableColumn id="11" xr3:uid="{D21A7F3E-B429-4F4F-8452-65D52882E68C}" name="Column6" dataDxfId="179" totalsRowDxfId="14"/>
    <tableColumn id="4" xr3:uid="{42D709B1-2328-4AF3-976B-B8C064964D83}" name="Column1" dataDxfId="178" totalsRowDxfId="13"/>
    <tableColumn id="8" xr3:uid="{43A2DB7F-0AFF-46CF-973E-266D74E0D3BA}" name="Column5" dataDxfId="177" totalsRowDxfId="12"/>
    <tableColumn id="9" xr3:uid="{76B50D6B-0BDC-4143-BAA7-25E79465C0B2}" name="Cost/Acre" totalsRowFunction="sum" dataDxfId="176" totalsRowDxfId="11">
      <calculatedColumnFormula>CustomMachineTable[[#This Row],[Cost/App per Acre]]*CustomMachineTable[[#This Row],[Applications (Times Over)]]</calculatedColumnFormula>
    </tableColumn>
    <tableColumn id="10" xr3:uid="{FD27A354-FFD4-4626-95D9-1CE62806F291}" name="Notes" dataDxfId="175" totalsRowDxfId="10"/>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247F818-679E-4C1D-BEA2-3C762D72077D}" name="IrrigOwnershipTable" displayName="IrrigOwnershipTable" ref="B12:N16" totalsRowCount="1" headerRowDxfId="174" totalsRowDxfId="171" headerRowBorderDxfId="173" tableBorderDxfId="172" totalsRowBorderDxfId="170">
  <autoFilter ref="B12:N15" xr:uid="{E2D2C88F-75E6-4A2E-9AFC-F6B035B8951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1B0EC5C7-F48D-49CC-B48F-C4F780B3295C}" name="Irrigation Components" totalsRowLabel="Total" dataDxfId="169" totalsRowDxfId="168"/>
    <tableColumn id="2" xr3:uid="{914FF388-897F-4CA6-90BB-706BBDF840DA}" name="List Price" dataDxfId="167" totalsRowDxfId="166"/>
    <tableColumn id="3" xr3:uid="{26B1DA54-1229-407B-91F3-202F6E8A74C1}" name="Use Life (Years)" dataDxfId="165" totalsRowDxfId="164"/>
    <tableColumn id="4" xr3:uid="{F467FA27-9106-4D32-88DA-D234C9329174}" name="Salvage Value" dataDxfId="163" totalsRowDxfId="162"/>
    <tableColumn id="5" xr3:uid="{A0A505C2-90E5-4EEE-90E6-54233C82505D}" name="Down Payment" dataDxfId="161" totalsRowDxfId="160"/>
    <tableColumn id="6" xr3:uid="{9EBDB48F-104C-4890-BE1F-48827459882F}" name="Annual Payment" dataDxfId="159" totalsRowDxfId="158"/>
    <tableColumn id="7" xr3:uid="{9DA83008-3471-46B3-B115-2C5A7CADBD74}" name="Insurance" totalsRowFunction="sum" dataDxfId="157" totalsRowDxfId="156">
      <calculatedColumnFormula>0.0025*IrrigOwnershipTable[[#This Row],[List Price]]</calculatedColumnFormula>
    </tableColumn>
    <tableColumn id="8" xr3:uid="{5C78964F-9CB7-40A5-93EF-D78A632CA98D}" name="Taxes &amp; Fees" totalsRowFunction="sum" dataDxfId="155" totalsRowDxfId="154">
      <calculatedColumnFormula>0.01*IrrigOwnershipTable[[#This Row],[List Price]]</calculatedColumnFormula>
    </tableColumn>
    <tableColumn id="9" xr3:uid="{8AE2A933-CB26-404A-BCF3-5B54E156A379}" name="Capital Recovery" totalsRowFunction="sum" dataDxfId="153" totalsRowDxfId="152">
      <calculatedColumnFormula>IF(ISBLANK(IrrigOwnershipTable[[#This Row],[Use Life (Years)]]),0,PMT(IrrigInterestRate,IrrigOwnershipTable[[#This Row],[Use Life (Years)]],-IrrigOwnershipTable[[#This Row],[Down Payment]],IrrigOwnershipTable[[#This Row],[Salvage Value]],0))</calculatedColumnFormula>
    </tableColumn>
    <tableColumn id="10" xr3:uid="{ECA40199-46F7-4F0A-858E-6687C2BBECB8}" name="Total Annual Cost" totalsRowFunction="sum" dataDxfId="151" totalsRowDxfId="150">
      <calculatedColumnFormula>SUM(G13:J13)</calculatedColumnFormula>
    </tableColumn>
    <tableColumn id="11" xr3:uid="{C5CB7725-5211-4DA8-AF61-0CDAD9018FAA}" name="Crop Acres per Year" totalsRowFunction="custom" dataDxfId="149" totalsRowDxfId="148">
      <totalsRowFormula>IrrigOwnershipTable[[#Totals],[Total Annual Cost]]/IrrigOwnershipTable[[#Totals],[Cost per Crop Acre]]</totalsRowFormula>
    </tableColumn>
    <tableColumn id="12" xr3:uid="{9EDEB4EA-9EC4-4852-9B06-3C4F3F77CC7C}" name="Cost per Crop Acre" totalsRowFunction="sum" dataDxfId="147" totalsRowDxfId="39">
      <calculatedColumnFormula>IF(ISBLANK(IrrigOwnershipTable[[#This Row],[Crop Acres per Year]]),IrrigOwnershipTable[Total Annual Cost],IrrigOwnershipTable[[#This Row],[Total Annual Cost]]/IrrigOwnershipTable[[#This Row],[Crop Acres per Year]])</calculatedColumnFormula>
    </tableColumn>
    <tableColumn id="13" xr3:uid="{AF124188-0C10-4200-92E2-1A51BF3DFF49}" name="Notes" dataDxfId="146" totalsRowDxfId="145"/>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365559C-BD25-44A4-ADF7-E839FA53F2D8}" name="IrrigOperationTable" displayName="IrrigOperationTable" ref="B19:N22" totalsRowCount="1" headerRowDxfId="144" headerRowBorderDxfId="143" tableBorderDxfId="142" totalsRowBorderDxfId="141">
  <autoFilter ref="B19:N21" xr:uid="{8ED07FA2-F890-499C-AB51-6AB27C9BA4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786AB317-9080-4182-A8E0-EA0687CB8A5C}" name="Activity" totalsRowLabel="Total" totalsRowDxfId="57"/>
    <tableColumn id="2" xr3:uid="{A2956211-8001-4CCA-A305-284212AE0776}" name="Pumping HP" totalsRowDxfId="56"/>
    <tableColumn id="3" xr3:uid="{6A4F36E0-273D-45E6-91F9-D1D961EC16BD}" name="Irrigated Acres" totalsRowFunction="average" totalsRowDxfId="55"/>
    <tableColumn id="4" xr3:uid="{06F21F3C-D890-4645-AFCB-60824C2DA5D2}" name="Apps per Crop" totalsRowDxfId="54"/>
    <tableColumn id="5" xr3:uid="{577040D8-158D-4984-A01B-A06172887806}" name="Acre Inches per App" totalsRowDxfId="53"/>
    <tableColumn id="6" xr3:uid="{8125369F-E40E-45B4-B1A7-00CC02A6836F}" name="Pivot Hours/App" totalsRowDxfId="52"/>
    <tableColumn id="7" xr3:uid="{4E027639-520B-45C4-96D8-058D384B7A39}" name="Labor Hours/App" totalsRowDxfId="51"/>
    <tableColumn id="8" xr3:uid="{6DE5494A-49BD-417E-BC0B-0BFDE1ECA342}" name="Labor Cost" totalsRowFunction="sum" dataDxfId="140" totalsRowDxfId="50">
      <calculatedColumnFormula>IrrigOperationTable[[#This Row],[Apps per Crop]]*IrrigOperationTable[[#This Row],[Labor Hours/App]]*IrrigLaborWage</calculatedColumnFormula>
    </tableColumn>
    <tableColumn id="9" xr3:uid="{065D0334-572B-4B7C-BC22-8C2384A0E7CC}" name="Electricity Cost" totalsRowFunction="sum" dataDxfId="139" totalsRowDxfId="49">
      <calculatedColumnFormula>0.83*IrrigOperationTable[[#This Row],[Pumping HP]]*IrrigOperationTable[[#This Row],[Pivot Hours/App]]*IrrigOperationTable[[#This Row],[Apps per Crop]]*ElectricityPrice</calculatedColumnFormula>
    </tableColumn>
    <tableColumn id="10" xr3:uid="{8B7FB3A1-52B9-478E-A0F4-AEA358F8D85E}" name="Repair Cost" totalsRowFunction="sum" dataDxfId="138" totalsRowDxfId="48">
      <calculatedColumnFormula>2.89*IrrigOperationTable[[#This Row],[Apps per Crop]]*IrrigOperationTable[[#This Row],[Acre Inches per App]]*IrrigOperationTable[[#This Row],[Irrigated Acres]]</calculatedColumnFormula>
    </tableColumn>
    <tableColumn id="11" xr3:uid="{E6231456-12E3-41EB-AD0E-53A09E2E5A39}" name="Total Cost" totalsRowFunction="sum" dataDxfId="137" totalsRowDxfId="47">
      <calculatedColumnFormula>SUM(I20:K21)</calculatedColumnFormula>
    </tableColumn>
    <tableColumn id="12" xr3:uid="{3943229B-B2BC-42F5-A3C0-86A55E34FEDF}" name="Total Cost/Acre" totalsRowFunction="sum" dataDxfId="136" totalsRowDxfId="46">
      <calculatedColumnFormula>IrrigOperationTable[[#This Row],[Total Cost]]/IrrigOperationTable[[#This Row],[Irrigated Acres]]</calculatedColumnFormula>
    </tableColumn>
    <tableColumn id="13" xr3:uid="{54C09E7E-0861-4675-AE8A-3DBD9AA2C250}" name="Notes" dataDxfId="135" totalsRowDxfId="45"/>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DA17424-FD52-432C-B6DB-B423E4E94A0F}" name="OtherLaborActivitiesTable" displayName="OtherLaborActivitiesTable" ref="B5:J9" totalsRowCount="1" headerRowDxfId="134" headerRowBorderDxfId="133" tableBorderDxfId="132" totalsRowBorderDxfId="131">
  <autoFilter ref="B5:J8" xr:uid="{58A5E3BC-433E-4383-A6B6-103C900AD34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A67AEED-E876-4AB6-AE99-7B70A263F90D}" name="Other Labor Activities" totalsRowLabel="Total" totalsRowDxfId="130"/>
    <tableColumn id="2" xr3:uid="{1040DD01-8AC2-482F-B93F-3D3CB72C7CBD}" name="Description" totalsRowDxfId="129"/>
    <tableColumn id="3" xr3:uid="{63571D3C-EC11-4162-A952-F27A916E97D0}" name="Unit" totalsRowDxfId="128"/>
    <tableColumn id="4" xr3:uid="{17D7DACC-1E9B-430E-8D7B-F0159D00B56E}" name="Cost/Unit" totalsRowDxfId="127"/>
    <tableColumn id="5" xr3:uid="{D1DAE83D-465B-4F6D-B19D-03D5D2E8651E}" name="Units/Field" totalsRowDxfId="126"/>
    <tableColumn id="6" xr3:uid="{2C773AB7-6453-4F07-BC70-A605EE7C8FA1}" name="Field Acres" totalsRowDxfId="125"/>
    <tableColumn id="7" xr3:uid="{D73FD9D1-B4CF-4BBC-952E-3752817817F4}" name="Units/Acre" dataDxfId="124" totalsRowDxfId="123">
      <calculatedColumnFormula>IF(ISBLANK(OtherLaborActivitiesTable[[#This Row],[Field Acres]]),OtherLaborActivitiesTable[Units/Field],OtherLaborActivitiesTable[[#This Row],[Units/Field]]/OtherLaborActivitiesTable[[#This Row],[Field Acres]])</calculatedColumnFormula>
    </tableColumn>
    <tableColumn id="8" xr3:uid="{602B888B-5DEF-4DBE-9FB0-655192A14B95}" name="Cost/Acre" totalsRowFunction="sum" dataDxfId="122" totalsRowDxfId="121">
      <calculatedColumnFormula>OtherLaborActivitiesTable[[#This Row],[Cost/Unit]]*OtherLaborActivitiesTable[[#This Row],[Units/Acre]]</calculatedColumnFormula>
    </tableColumn>
    <tableColumn id="9" xr3:uid="{2B065F36-FCFE-4F54-B715-915A4D47CDB1}" name="Notes" dataDxfId="120" totalsRowDxfId="119"/>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49F0622-12DC-43A1-9471-8E8701D338AE}" name="OtherOwnershipTable" displayName="OtherOwnershipTable" ref="B19:J23" totalsRowCount="1" headerRowDxfId="118" headerRowBorderDxfId="117" tableBorderDxfId="116" totalsRowBorderDxfId="115">
  <autoFilter ref="B19:J22" xr:uid="{5EDBAB48-7F30-42E4-852D-8E2FF1337DF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1136FCF-A43E-4558-960A-F48FD925D434}" name="Item" totalsRowLabel="Total" dataDxfId="114" totalsRowDxfId="113"/>
    <tableColumn id="2" xr3:uid="{9ED4103C-1E00-4ABA-AFE4-F9E125163AB7}" name="Description" dataDxfId="112" totalsRowDxfId="111"/>
    <tableColumn id="3" xr3:uid="{05653E75-FA90-42E5-892E-DD5565BC2669}" name="Unit" dataDxfId="110" totalsRowDxfId="109"/>
    <tableColumn id="4" xr3:uid="{A1EB5644-F570-4E32-80F0-EE3A8620B928}" name="Cost/Unit" dataDxfId="108" totalsRowDxfId="107"/>
    <tableColumn id="5" xr3:uid="{0191D63D-8BA4-42D9-889F-FEF01141D9DC}" name="Units" dataDxfId="106" totalsRowDxfId="105"/>
    <tableColumn id="6" xr3:uid="{68BE1FDA-01AF-4E71-B224-EA3CC889CDDC}" name="Crop Acres per Year" dataDxfId="104" totalsRowDxfId="103"/>
    <tableColumn id="7" xr3:uid="{2B1C49E7-23CD-4FB1-B772-4E71B9BBF0F2}" name="Units/Acre" dataDxfId="102" totalsRowDxfId="101">
      <calculatedColumnFormula>IF(ISBLANK(OtherOwnershipTable[[#This Row],[Crop Acres per Year]]),0,OtherOwnershipTable[[#This Row],[Units]]/OtherOwnershipTable[[#This Row],[Crop Acres per Year]])</calculatedColumnFormula>
    </tableColumn>
    <tableColumn id="8" xr3:uid="{F8CDFDFF-9BE0-4EBC-98AE-129D6185D81E}" name="Cost per Crop Acre" totalsRowFunction="sum" dataDxfId="100" totalsRowDxfId="99">
      <calculatedColumnFormula>OtherOwnershipTable[[#This Row],[Cost/Unit]]*OtherOwnershipTable[[#This Row],[Units/Acre]]</calculatedColumnFormula>
    </tableColumn>
    <tableColumn id="9" xr3:uid="{1115AE7C-A219-4C53-8020-5D505BA867A0}" name="Notes" dataDxfId="98" totalsRowDxfId="97"/>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B788E0A-C3E3-48BC-8DB5-4738ECEDAC1C}" name="OtherOpCostTable" displayName="OtherOpCostTable" ref="B10:J14" totalsRowCount="1" headerRowDxfId="96" headerRowBorderDxfId="95" tableBorderDxfId="94" totalsRowBorderDxfId="93">
  <autoFilter ref="B10:J13" xr:uid="{242EFB9D-5EB5-46DD-9426-62DF6736D1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53A5381-98ED-4605-90FF-BEFBE800582E}" name="Other Operating Cost Items" totalsRowLabel="Total" dataDxfId="92" totalsRowDxfId="91"/>
    <tableColumn id="2" xr3:uid="{BB11C8BF-586B-43D8-870C-6D26A079AF14}" name="Description" dataDxfId="90" totalsRowDxfId="89"/>
    <tableColumn id="3" xr3:uid="{46A615C9-9273-45A8-A3E0-D39DAC122804}" name="Unit" dataDxfId="88" totalsRowDxfId="87"/>
    <tableColumn id="4" xr3:uid="{7D3AFFF6-C1CD-43D9-A858-03296C88845E}" name="Cost/Unit" dataDxfId="86" totalsRowDxfId="85"/>
    <tableColumn id="5" xr3:uid="{E05997EF-3539-4EED-A905-4AF4F66BC580}" name="Units/Field" dataDxfId="84" totalsRowDxfId="83"/>
    <tableColumn id="6" xr3:uid="{E425679A-CF70-4611-8415-DEE13BF7FF55}" name="Field Acres" dataDxfId="82" totalsRowDxfId="81"/>
    <tableColumn id="7" xr3:uid="{7FE46DD4-2E10-48C1-AB4F-41DFB617150B}" name="Units/Acre" dataDxfId="80" totalsRowDxfId="79">
      <calculatedColumnFormula>IF(ISBLANK(OtherOpCostTable[[#This Row],[Field Acres]]),OtherOpCostTable[Units/Field],OtherOpCostTable[[#This Row],[Units/Field]]/OtherOpCostTable[[#This Row],[Field Acres]])</calculatedColumnFormula>
    </tableColumn>
    <tableColumn id="8" xr3:uid="{320C56CC-CB93-4B37-8C74-48ED771D29B8}" name="Cost/Acre" totalsRowFunction="sum" dataDxfId="78" totalsRowDxfId="77">
      <calculatedColumnFormula>OtherOpCostTable[[#This Row],[Cost/Unit]]*OtherOpCostTable[[#This Row],[Units/Acre]]</calculatedColumnFormula>
    </tableColumn>
    <tableColumn id="9" xr3:uid="{9E63C1FE-2B89-49BD-AE97-059C14DA3B7C}" name="Notes" dataDxfId="76" totalsRowDxfId="7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767570-3704-4974-8948-20DF580EBCA9}" name="SeedTable" displayName="SeedTable" ref="B4:G8" totalsRowCount="1" headerRowDxfId="344" headerRowBorderDxfId="343" tableBorderDxfId="342" totalsRowBorderDxfId="341">
  <autoFilter ref="B4:G7" xr:uid="{73791ECA-11B7-4BF4-A4C1-2A4C2CFA6BAA}">
    <filterColumn colId="0" hiddenButton="1"/>
    <filterColumn colId="1" hiddenButton="1"/>
    <filterColumn colId="2" hiddenButton="1"/>
    <filterColumn colId="3" hiddenButton="1"/>
    <filterColumn colId="4" hiddenButton="1"/>
    <filterColumn colId="5" hiddenButton="1"/>
  </autoFilter>
  <tableColumns count="6">
    <tableColumn id="1" xr3:uid="{BFC9D289-F2E4-4D6D-B67F-C64D3FCCA41B}" name="Cultivar/Variety Name" totalsRowLabel="Total" dataDxfId="340" totalsRowDxfId="339"/>
    <tableColumn id="2" xr3:uid="{CE441071-32B8-406A-BE68-30651F79E72D}" name="Unit" dataDxfId="338" totalsRowDxfId="337"/>
    <tableColumn id="3" xr3:uid="{ED8D9221-54D7-47CA-B31A-976ABA53EBCD}" name="Units/Acre" totalsRowFunction="sum" totalsRowDxfId="336"/>
    <tableColumn id="4" xr3:uid="{FDDE10E1-09D5-4966-91E8-D59850059B45}" name="Cost/Unit" totalsRowFunction="custom" totalsRowDxfId="335">
      <totalsRowFormula>IF(SeedTable[[#Totals],[Units/Acre]]=0,0,SeedTable[[#Totals],[Cost/Acre]]/SeedTable[[#Totals],[Units/Acre]])</totalsRowFormula>
    </tableColumn>
    <tableColumn id="5" xr3:uid="{C6C11F79-5B1B-47E0-9784-E939512109A5}" name="Cost/Acre" totalsRowFunction="sum" dataDxfId="334" totalsRowDxfId="333">
      <calculatedColumnFormula>SeedTable[[#This Row],[Units/Acre]]*SeedTable[[#This Row],[Cost/Unit]]</calculatedColumnFormula>
    </tableColumn>
    <tableColumn id="6" xr3:uid="{B7B41ADA-0CBC-41D9-B187-A3439AFC2553}" name="Notes" dataDxfId="332" totalsRowDxfId="33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BAE446-987B-4CA8-987D-4283C8C5416D}" name="SoilAmendTable" displayName="SoilAmendTable" ref="B4:J7" totalsRowCount="1" headerRowDxfId="330" headerRowBorderDxfId="329" tableBorderDxfId="328" totalsRowBorderDxfId="327">
  <autoFilter ref="B4:J6" xr:uid="{236D882A-C99C-42D5-91A5-41CFBC2F939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83FB96A-6FAB-4AB2-8246-53BF15896151}" name="Soil Amendment/pH Materials" totalsRowLabel="Total" totalsRowDxfId="326"/>
    <tableColumn id="2" xr3:uid="{9E06A617-22AC-4DB7-9CDA-52E985F07963}" name="Unit" totalsRowDxfId="325"/>
    <tableColumn id="3" xr3:uid="{DE5F19EB-86A4-49F2-A856-26BD7B0864EE}" name="Units/Acre" totalsRowFunction="sum" dataDxfId="324" totalsRowDxfId="323"/>
    <tableColumn id="4" xr3:uid="{34DF8505-A4F5-424C-A5E0-07B683BB4577}" name="Cost/Unit" totalsRowFunction="custom" dataDxfId="322" totalsRowDxfId="321">
      <totalsRowFormula>IF(SoilAmendTable[[#Totals],[Units/Acre]]=0,0,SoilAmendTable[[#Totals],[Cost/Acre]]/SoilAmendTable[[#Totals],[Units/Acre]])</totalsRowFormula>
    </tableColumn>
    <tableColumn id="5" xr3:uid="{9D76405B-BE92-4A84-9D44-5AAC01C7811E}" name="Cost/Acre" totalsRowFunction="sum" dataDxfId="320" totalsRowDxfId="319">
      <calculatedColumnFormula>SoilAmendTable[[#This Row],[Units/Acre]]*SoilAmendTable[[#This Row],[Cost/Unit]]</calculatedColumnFormula>
    </tableColumn>
    <tableColumn id="6" xr3:uid="{E6D7F035-0743-4553-9937-61538AB99EE0}" name="N/Acre" totalsRowFunction="sum" dataDxfId="318" totalsRowDxfId="317"/>
    <tableColumn id="7" xr3:uid="{BFD44274-F50E-4380-AD5E-2056B5010E3A}" name="P2O5/Acre" totalsRowFunction="sum" dataDxfId="316" totalsRowDxfId="315"/>
    <tableColumn id="8" xr3:uid="{FBC90554-97BE-4FAE-B126-8328CDFA52F7}" name="K2O/Acre" totalsRowFunction="sum" dataDxfId="314" totalsRowDxfId="313"/>
    <tableColumn id="9" xr3:uid="{4B2F58A6-86AE-4D94-82AB-3BA1F043A93A}" name="Notes" dataDxfId="312" totalsRowDxfId="31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787CC33-99A6-4244-B614-3A3B35886BE1}" name="DryFertTable" displayName="DryFertTable" ref="B9:J19" totalsRowCount="1" headerRowDxfId="310" totalsRowDxfId="307" headerRowBorderDxfId="309" tableBorderDxfId="308" totalsRowBorderDxfId="306">
  <autoFilter ref="B9:J18" xr:uid="{34EE5506-9405-4F72-8B51-466FB9DFCFD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4F5CD89-1A7D-4DC7-B3E9-59271E9B8AB9}" name="Dry Fertilizers" totalsRowLabel="Total" dataDxfId="74" totalsRowDxfId="28"/>
    <tableColumn id="2" xr3:uid="{BABC90A0-6853-4C80-817E-8A624BDB8348}" name="Unit" dataDxfId="73" totalsRowDxfId="27"/>
    <tableColumn id="3" xr3:uid="{150CACD8-5A91-4709-A72D-1FDAE1018608}" name="Units/Acre" dataDxfId="72" totalsRowDxfId="26"/>
    <tableColumn id="4" xr3:uid="{A4D8E772-339E-4CBE-A763-1D82A23CE0E4}" name="Cost/Unit" dataDxfId="71" totalsRowDxfId="25"/>
    <tableColumn id="5" xr3:uid="{358CB79F-24F4-4806-AB9E-5DBE82E98B4D}" name="Cost/Acre" totalsRowFunction="sum" dataDxfId="70" totalsRowDxfId="24">
      <calculatedColumnFormula>DryFertTable[[#This Row],[Units/Acre]]*DryFertTable[[#This Row],[Cost/Unit]]</calculatedColumnFormula>
    </tableColumn>
    <tableColumn id="6" xr3:uid="{685EB8B7-D992-450F-9A5D-036ED66C3FEA}" name="N/Acre" totalsRowFunction="sum" dataDxfId="69" totalsRowDxfId="23"/>
    <tableColumn id="7" xr3:uid="{40CED328-1A77-4DBB-8640-916D992AF603}" name="P2O5/Acre" totalsRowFunction="sum" dataDxfId="68" totalsRowDxfId="22"/>
    <tableColumn id="8" xr3:uid="{3F63D820-FDEF-4E01-B8A9-F320CDC8F5D6}" name="K2O/Acre" totalsRowFunction="sum" dataDxfId="67" totalsRowDxfId="21"/>
    <tableColumn id="9" xr3:uid="{FB17B825-C4AD-434F-A320-9EB9126A7230}" name="Notes" totalsRowDxfId="2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AC7986-D781-4A41-A3BE-EF21CC0DC4E7}" name="LiqFertTable" displayName="LiqFertTable" ref="B21:J25" totalsRowCount="1" headerRowDxfId="305" headerRowBorderDxfId="304" tableBorderDxfId="303" totalsRowBorderDxfId="302">
  <autoFilter ref="B21:J24" xr:uid="{C7395D18-DCDE-4401-B153-750A497F650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7128452-7AA6-41DE-9B59-5F3BD9BF6C68}" name="Liquid Fertilizers" totalsRowLabel="Total" dataDxfId="301" totalsRowDxfId="66"/>
    <tableColumn id="2" xr3:uid="{4EA30C6D-E6E7-47D0-89DF-A02F016F22DB}" name="Unit" dataDxfId="300" totalsRowDxfId="65"/>
    <tableColumn id="3" xr3:uid="{5D8AB12C-B10F-4F30-8A57-494DEE89A65F}" name="Units/Acre" dataDxfId="299" totalsRowDxfId="64"/>
    <tableColumn id="4" xr3:uid="{A1F0A830-E6A2-4B43-B252-95E6A8267EF1}" name="Cost/Unit" dataDxfId="298" totalsRowDxfId="63"/>
    <tableColumn id="5" xr3:uid="{F023E217-E2D9-4376-BBCB-1C429B235574}" name="Cost/Acre" totalsRowFunction="sum" dataDxfId="297" totalsRowDxfId="62">
      <calculatedColumnFormula>D22*E22</calculatedColumnFormula>
    </tableColumn>
    <tableColumn id="6" xr3:uid="{0C1353C9-4D9A-49A5-8A38-E9B5268AA379}" name="N/Acre" totalsRowFunction="sum" dataDxfId="296" totalsRowDxfId="61"/>
    <tableColumn id="7" xr3:uid="{0FEB1BEE-93F1-4F28-B165-C8E46C32D82C}" name="P2O5/Acre" totalsRowFunction="sum" dataDxfId="295" totalsRowDxfId="60"/>
    <tableColumn id="8" xr3:uid="{0D7E9518-BFB7-4C04-AC01-DC782D963327}" name="K2O/Acre" totalsRowFunction="sum" dataDxfId="294" totalsRowDxfId="59"/>
    <tableColumn id="9" xr3:uid="{FA0BD19E-1930-45C0-80A5-B7DB64B46879}" name="Notes" dataDxfId="293" totalsRowDxfId="5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D7D8FE6-113A-4D72-9140-7F03E019F834}" name="HerbicideTable" displayName="HerbicideTable" ref="B5:J9" totalsRowCount="1" headerRowDxfId="292" dataDxfId="290" headerRowBorderDxfId="291" tableBorderDxfId="289" totalsRowBorderDxfId="288">
  <autoFilter ref="B5:J8" xr:uid="{B05E4B96-EAFF-4C21-AE17-16EB2C1559B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7B1E0A0-95B3-414C-9C38-91FDE781DD95}" name="Active Ingredient" totalsRowLabel="Total" dataDxfId="287" totalsRowDxfId="286"/>
    <tableColumn id="2" xr3:uid="{56BB1D90-332B-4C8B-961E-0D7BB19AEB84}" name="Trade Name" dataDxfId="285" totalsRowDxfId="284"/>
    <tableColumn id="3" xr3:uid="{050CF76F-FB32-43EC-907B-8B32C8102E16}" name="Unit" dataDxfId="283" totalsRowDxfId="282"/>
    <tableColumn id="4" xr3:uid="{CACAAFFD-305E-42A2-B833-F486E6F098A7}" name="Units/App/A" dataDxfId="281" totalsRowDxfId="280"/>
    <tableColumn id="5" xr3:uid="{335CF90A-D246-424A-9349-FB26497C63A1}" name="Apps" totalsRowFunction="sum" dataDxfId="279" totalsRowDxfId="278"/>
    <tableColumn id="6" xr3:uid="{FDB942CD-D0A7-4015-AEB0-5750DFED1CCA}" name="Cost/Unit" dataDxfId="277" totalsRowDxfId="276"/>
    <tableColumn id="7" xr3:uid="{1B34B74E-19EC-465E-8644-92677EAD57D6}" name="Cost/App" totalsRowFunction="custom" dataDxfId="275" totalsRowDxfId="274">
      <calculatedColumnFormula>HerbicideTable[[#This Row],[Units/App/A]]*HerbicideTable[[#This Row],[Cost/Unit]]</calculatedColumnFormula>
      <totalsRowFormula>IF(HerbicideTable[[#Totals],[Apps]]=0,0,HerbicideTable[[#Totals],[Cost/Acre]]/HerbicideTable[[#Totals],[Apps]])</totalsRowFormula>
    </tableColumn>
    <tableColumn id="8" xr3:uid="{FBDF1B45-CA67-48D9-9771-6EC6EB81316D}" name="Cost/Acre" totalsRowFunction="sum" dataDxfId="273" totalsRowDxfId="272">
      <calculatedColumnFormula>HerbicideTable[[#This Row],[Apps]]*HerbicideTable[[#This Row],[Cost/App]]</calculatedColumnFormula>
    </tableColumn>
    <tableColumn id="9" xr3:uid="{A0C90D80-D080-4A5B-8377-516C12B30348}" name="Notes" dataDxfId="271" totalsRowDxfId="27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18C5FCD-13E1-4D23-86BD-EA5FF3E2A72D}" name="FungicideTable" displayName="FungicideTable" ref="B12:J20" totalsRowCount="1" headerRowDxfId="269" headerRowBorderDxfId="268" tableBorderDxfId="267" totalsRowBorderDxfId="266">
  <autoFilter ref="B12:J19" xr:uid="{CFEF7511-A51B-43CF-A713-481104DFDE3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F5C0A48-1E76-4A14-AFF1-8CAD1B4B8846}" name="Active Ingredient" totalsRowLabel="Total" totalsRowDxfId="265"/>
    <tableColumn id="2" xr3:uid="{CC38B2BA-629C-4D06-9B3A-3435F95C8692}" name="Trade Name" totalsRowDxfId="264"/>
    <tableColumn id="3" xr3:uid="{CDB55E52-39FE-4DF3-A00B-7E660297EE91}" name="Unit" dataDxfId="263" totalsRowDxfId="262"/>
    <tableColumn id="4" xr3:uid="{37B52B79-2630-434D-B769-5BFCEECA5EC7}" name="Units/App/A" dataDxfId="261" totalsRowDxfId="260"/>
    <tableColumn id="5" xr3:uid="{24B3F66B-C6EC-4982-8613-4C0952850503}" name="Apps" totalsRowFunction="sum" dataDxfId="259" totalsRowDxfId="258"/>
    <tableColumn id="6" xr3:uid="{E874349B-AA1D-4ABD-8391-628DC5C6299B}" name="Cost/Unit" dataDxfId="257" totalsRowDxfId="256"/>
    <tableColumn id="7" xr3:uid="{F4BAE29F-9C8D-4452-87FD-77DBDE2E67B8}" name="Cost/App" totalsRowFunction="custom" dataDxfId="255" totalsRowDxfId="254">
      <calculatedColumnFormula>FungicideTable[[#This Row],[Units/App/A]]*FungicideTable[[#This Row],[Cost/Unit]]</calculatedColumnFormula>
      <totalsRowFormula>IF(FungicideTable[[#Totals],[Apps]]=0,0,FungicideTable[[#Totals],[Cost/Acre]]/FungicideTable[[#Totals],[Apps]])</totalsRowFormula>
    </tableColumn>
    <tableColumn id="8" xr3:uid="{DDB6FCF1-D6FF-4072-BC69-7837696259B0}" name="Cost/Acre" totalsRowFunction="sum" dataDxfId="253" totalsRowDxfId="252">
      <calculatedColumnFormula>FungicideTable[[#This Row],[Apps]]*FungicideTable[[#This Row],[Cost/App]]</calculatedColumnFormula>
    </tableColumn>
    <tableColumn id="9" xr3:uid="{AD264536-4206-47F7-B18E-18910273B1AB}" name="Notes" dataDxfId="251" totalsRowDxfId="25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88B9F26-FBAB-43C6-9FA5-08B9720C4384}" name="InsecticideTable" displayName="InsecticideTable" ref="B23:J27" totalsRowCount="1" headerRowDxfId="249" headerRowBorderDxfId="248" tableBorderDxfId="247" totalsRowBorderDxfId="246">
  <autoFilter ref="B23:J26" xr:uid="{1D9F157F-DBEA-49CD-A090-0E076CA6E6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2C256E1-ED58-455D-A6CF-0997894CBFBF}" name="Active Ingredient" totalsRowLabel="Total" dataDxfId="245" totalsRowDxfId="244"/>
    <tableColumn id="2" xr3:uid="{8B6FB565-35E6-49AD-B78D-96CC40528D76}" name="Trade Name" dataDxfId="243" totalsRowDxfId="242"/>
    <tableColumn id="3" xr3:uid="{5433AA42-BBEC-409E-81CB-F0E5E112A23E}" name="Unit" dataDxfId="241" totalsRowDxfId="240"/>
    <tableColumn id="4" xr3:uid="{53D274CD-8405-451A-BE25-6772C2FC1835}" name="Units/App/A" dataDxfId="239" totalsRowDxfId="238"/>
    <tableColumn id="5" xr3:uid="{E30CFE38-3888-423B-9EDF-6EEB45119D1F}" name="Apps" totalsRowFunction="sum" dataDxfId="237" totalsRowDxfId="236"/>
    <tableColumn id="6" xr3:uid="{3529021E-AE4A-4C98-A9DD-083542206B4F}" name="Cost/Unit" dataDxfId="235" totalsRowDxfId="234"/>
    <tableColumn id="7" xr3:uid="{093F2D16-10F1-4574-88E0-A417E66D4B43}" name="Cost/App" totalsRowFunction="custom" dataDxfId="233" totalsRowDxfId="232">
      <calculatedColumnFormula>InsecticideTable[[#This Row],[Units/App/A]]*InsecticideTable[[#This Row],[Cost/Unit]]</calculatedColumnFormula>
      <totalsRowFormula>IF(InsecticideTable[[#Totals],[Apps]]=0,0,InsecticideTable[[#Totals],[Cost/Acre]]/InsecticideTable[[#Totals],[Apps]])</totalsRowFormula>
    </tableColumn>
    <tableColumn id="8" xr3:uid="{3ABA228E-A511-4A2A-BE88-ACE943D79E51}" name="Cost/Acre" totalsRowFunction="sum" dataDxfId="231" totalsRowDxfId="230">
      <calculatedColumnFormula>InsecticideTable[[#This Row],[Apps]]*InsecticideTable[[#This Row],[Cost/App]]</calculatedColumnFormula>
    </tableColumn>
    <tableColumn id="9" xr3:uid="{F224E092-B6A8-4462-A779-35CDF9F94E99}" name="Notes" dataDxfId="229" totalsRowDxfId="228"/>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2B21744-074B-4766-86B6-3CF19A9E3DF7}" name="NematicideTable" displayName="NematicideTable" ref="B30:J33" totalsRowCount="1" headerRowDxfId="227" headerRowBorderDxfId="226" tableBorderDxfId="225" totalsRowBorderDxfId="224">
  <autoFilter ref="B30:J32" xr:uid="{B82FE043-E58A-41E9-B4DD-EFB3343682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4D1C776-08D2-4615-BB34-4B8AAA42CD49}" name="Active Ingredient" totalsRowLabel="Total" totalsRowDxfId="223"/>
    <tableColumn id="2" xr3:uid="{1DEFEA9D-AFB1-44DD-B695-F5CB2B2E80F1}" name="Trade Name" totalsRowDxfId="222"/>
    <tableColumn id="3" xr3:uid="{2DFB8AC8-C760-41FA-935A-E50AA82538F9}" name="Unit" dataDxfId="221" totalsRowDxfId="220"/>
    <tableColumn id="4" xr3:uid="{0A2F1B37-9B21-49CB-B281-C15A7FE2375A}" name="Units/App/A" dataDxfId="219" totalsRowDxfId="218"/>
    <tableColumn id="5" xr3:uid="{6B3FE2B8-2BE8-41AB-9A7F-F2ACB02D0790}" name="Apps" totalsRowFunction="sum" dataDxfId="217" totalsRowDxfId="216"/>
    <tableColumn id="6" xr3:uid="{1B6C86D4-71C8-4E2F-876C-ADF5FA77535F}" name="Cost/Unit" dataDxfId="215" totalsRowDxfId="214"/>
    <tableColumn id="7" xr3:uid="{6BACD064-71C8-43FE-B6DD-BB1F1876D216}" name="Cost/App" totalsRowFunction="custom" dataDxfId="213" totalsRowDxfId="212">
      <calculatedColumnFormula>NematicideTable[[#This Row],[Units/App/A]]*NematicideTable[[#This Row],[Cost/Unit]]</calculatedColumnFormula>
      <totalsRowFormula>IF(NematicideTable[[#Totals],[Apps]]=0,0,NematicideTable[[#Totals],[Cost/Acre]]/NematicideTable[[#Totals],[Apps]])</totalsRowFormula>
    </tableColumn>
    <tableColumn id="8" xr3:uid="{B59FC119-3C4E-498A-85EE-4B4675BC310E}" name="Cost/Acre" totalsRowFunction="sum" dataDxfId="211" totalsRowDxfId="210">
      <calculatedColumnFormula>NematicideTable[[#This Row],[Apps]]*NematicideTable[[#This Row],[Cost/App]]</calculatedColumnFormula>
    </tableColumn>
    <tableColumn id="9" xr3:uid="{7E3AE3EF-B5D7-4F25-836C-8DDD177941A6}" name="Notes" dataDxfId="209" totalsRowDxfId="20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5.bin"/><Relationship Id="rId5" Type="http://schemas.openxmlformats.org/officeDocument/2006/relationships/table" Target="../tables/table9.xml"/><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8.bin"/><Relationship Id="rId4"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B3F8A-AA63-4587-A065-CDDB90C1530A}">
  <dimension ref="B1:H27"/>
  <sheetViews>
    <sheetView showGridLines="0" tabSelected="1" workbookViewId="0"/>
  </sheetViews>
  <sheetFormatPr defaultColWidth="8.85546875" defaultRowHeight="15" x14ac:dyDescent="0.25"/>
  <cols>
    <col min="1" max="1" width="5.7109375" customWidth="1"/>
    <col min="2" max="8" width="10.7109375" customWidth="1"/>
  </cols>
  <sheetData>
    <row r="1" spans="2:8" x14ac:dyDescent="0.25">
      <c r="B1" s="125"/>
      <c r="C1" s="125"/>
      <c r="D1" s="125"/>
      <c r="E1" s="125"/>
      <c r="F1" s="125"/>
      <c r="G1" s="125"/>
      <c r="H1" s="125"/>
    </row>
    <row r="2" spans="2:8" x14ac:dyDescent="0.25">
      <c r="B2" s="117" t="s">
        <v>247</v>
      </c>
      <c r="C2" s="117"/>
      <c r="D2" s="117"/>
      <c r="E2" s="117"/>
      <c r="F2" s="117"/>
      <c r="G2" s="117"/>
      <c r="H2" s="117"/>
    </row>
    <row r="3" spans="2:8" x14ac:dyDescent="0.25">
      <c r="B3" s="117" t="s">
        <v>248</v>
      </c>
      <c r="C3" s="117"/>
      <c r="D3" s="117"/>
      <c r="E3" s="117"/>
      <c r="F3" s="117"/>
      <c r="G3" s="117"/>
      <c r="H3" s="117"/>
    </row>
    <row r="4" spans="2:8" x14ac:dyDescent="0.25">
      <c r="B4" s="117"/>
      <c r="C4" s="117"/>
      <c r="D4" s="117"/>
      <c r="E4" s="117"/>
      <c r="F4" s="117"/>
      <c r="G4" s="117"/>
      <c r="H4" s="117"/>
    </row>
    <row r="5" spans="2:8" x14ac:dyDescent="0.25">
      <c r="B5" s="135" t="s">
        <v>0</v>
      </c>
      <c r="C5" s="134"/>
      <c r="D5" s="118" t="s">
        <v>1</v>
      </c>
      <c r="E5" s="117"/>
      <c r="F5" s="117"/>
      <c r="G5" s="117"/>
      <c r="H5" s="117"/>
    </row>
    <row r="6" spans="2:8" x14ac:dyDescent="0.25">
      <c r="B6" s="125" t="s">
        <v>2</v>
      </c>
      <c r="C6" s="125"/>
      <c r="D6" s="125" t="s">
        <v>3</v>
      </c>
      <c r="E6" s="125"/>
      <c r="F6" s="125"/>
      <c r="G6" s="125"/>
      <c r="H6" s="125"/>
    </row>
    <row r="7" spans="2:8" x14ac:dyDescent="0.25">
      <c r="B7" s="125" t="s">
        <v>4</v>
      </c>
      <c r="C7" s="125"/>
      <c r="D7" s="125" t="s">
        <v>5</v>
      </c>
      <c r="E7" s="125"/>
      <c r="F7" s="125"/>
      <c r="G7" s="125"/>
      <c r="H7" s="125"/>
    </row>
    <row r="8" spans="2:8" x14ac:dyDescent="0.25">
      <c r="B8" t="s">
        <v>6</v>
      </c>
      <c r="D8" s="7" t="s">
        <v>238</v>
      </c>
      <c r="E8" s="7"/>
      <c r="F8" s="7"/>
      <c r="G8" s="7"/>
      <c r="H8" s="7"/>
    </row>
    <row r="9" spans="2:8" x14ac:dyDescent="0.25">
      <c r="B9" s="125" t="s">
        <v>7</v>
      </c>
      <c r="C9" s="125"/>
      <c r="D9" s="125" t="s">
        <v>8</v>
      </c>
      <c r="E9" s="125"/>
      <c r="F9" s="125"/>
      <c r="G9" s="125"/>
      <c r="H9" s="125"/>
    </row>
    <row r="10" spans="2:8" x14ac:dyDescent="0.25">
      <c r="B10" s="125"/>
      <c r="C10" s="125"/>
    </row>
    <row r="11" spans="2:8" ht="15" customHeight="1" x14ac:dyDescent="0.25">
      <c r="B11" s="125" t="s">
        <v>9</v>
      </c>
      <c r="C11" s="125"/>
      <c r="D11" s="161" t="s">
        <v>251</v>
      </c>
      <c r="E11" s="161"/>
      <c r="F11" s="161"/>
      <c r="G11" s="161"/>
      <c r="H11" s="161"/>
    </row>
    <row r="12" spans="2:8" x14ac:dyDescent="0.25">
      <c r="B12" s="125"/>
      <c r="C12" s="125"/>
      <c r="D12" s="125"/>
      <c r="E12" s="125"/>
      <c r="F12" s="125"/>
      <c r="G12" s="125"/>
      <c r="H12" s="125"/>
    </row>
    <row r="13" spans="2:8" ht="15" customHeight="1" x14ac:dyDescent="0.25">
      <c r="B13" s="125" t="s">
        <v>10</v>
      </c>
      <c r="C13" s="125"/>
      <c r="D13" s="126" t="s">
        <v>243</v>
      </c>
      <c r="E13" s="127"/>
      <c r="F13" s="127"/>
      <c r="G13" s="127"/>
      <c r="H13" s="128"/>
    </row>
    <row r="14" spans="2:8" x14ac:dyDescent="0.25">
      <c r="D14" s="129"/>
      <c r="E14" s="158"/>
      <c r="F14" s="158"/>
      <c r="G14" s="158"/>
      <c r="H14" s="130"/>
    </row>
    <row r="15" spans="2:8" x14ac:dyDescent="0.25">
      <c r="D15" s="129"/>
      <c r="E15" s="158"/>
      <c r="F15" s="158"/>
      <c r="G15" s="158"/>
      <c r="H15" s="130"/>
    </row>
    <row r="16" spans="2:8" x14ac:dyDescent="0.25">
      <c r="D16" s="129"/>
      <c r="E16" s="158"/>
      <c r="F16" s="158"/>
      <c r="G16" s="158"/>
      <c r="H16" s="130"/>
    </row>
    <row r="17" spans="2:8" x14ac:dyDescent="0.25">
      <c r="D17" s="129"/>
      <c r="E17" s="158"/>
      <c r="F17" s="158"/>
      <c r="G17" s="158"/>
      <c r="H17" s="130"/>
    </row>
    <row r="18" spans="2:8" x14ac:dyDescent="0.25">
      <c r="D18" s="129"/>
      <c r="E18" s="158"/>
      <c r="F18" s="158"/>
      <c r="G18" s="158"/>
      <c r="H18" s="130"/>
    </row>
    <row r="19" spans="2:8" x14ac:dyDescent="0.25">
      <c r="D19" s="129"/>
      <c r="E19" s="158"/>
      <c r="F19" s="158"/>
      <c r="G19" s="158"/>
      <c r="H19" s="130"/>
    </row>
    <row r="20" spans="2:8" x14ac:dyDescent="0.25">
      <c r="D20" s="129"/>
      <c r="E20" s="158"/>
      <c r="F20" s="158"/>
      <c r="G20" s="158"/>
      <c r="H20" s="130"/>
    </row>
    <row r="21" spans="2:8" x14ac:dyDescent="0.25">
      <c r="D21" s="129"/>
      <c r="E21" s="158"/>
      <c r="F21" s="158"/>
      <c r="G21" s="158"/>
      <c r="H21" s="130"/>
    </row>
    <row r="22" spans="2:8" x14ac:dyDescent="0.25">
      <c r="D22" s="129"/>
      <c r="E22" s="158"/>
      <c r="F22" s="158"/>
      <c r="G22" s="158"/>
      <c r="H22" s="130"/>
    </row>
    <row r="23" spans="2:8" x14ac:dyDescent="0.25">
      <c r="D23" s="131"/>
      <c r="E23" s="132"/>
      <c r="F23" s="132"/>
      <c r="G23" s="132"/>
      <c r="H23" s="133"/>
    </row>
    <row r="25" spans="2:8" x14ac:dyDescent="0.25">
      <c r="B25" t="s">
        <v>249</v>
      </c>
      <c r="D25" s="160" t="s">
        <v>250</v>
      </c>
      <c r="E25" s="160"/>
      <c r="F25" s="160"/>
      <c r="G25" s="160"/>
      <c r="H25" s="160"/>
    </row>
    <row r="26" spans="2:8" x14ac:dyDescent="0.25">
      <c r="D26" s="160"/>
      <c r="E26" s="160"/>
      <c r="F26" s="160"/>
      <c r="G26" s="160"/>
      <c r="H26" s="160"/>
    </row>
    <row r="27" spans="2:8" x14ac:dyDescent="0.25">
      <c r="D27" s="160"/>
      <c r="E27" s="160"/>
      <c r="F27" s="160"/>
      <c r="G27" s="160"/>
      <c r="H27" s="160"/>
    </row>
  </sheetData>
  <sheetProtection algorithmName="SHA-512" hashValue="XjfjxrL34c/6iDLgttJqT5zGYnA8XGBBJxJV/bMJR+ZXu3rfAFCYnAf6kUn10B5SbjLPAQ3jPUuL753onPQBUQ==" saltValue="Wig2d/Rf3l5QGRMnCy6esQ==" spinCount="100000" sheet="1" objects="1" scenarios="1"/>
  <mergeCells count="16">
    <mergeCell ref="D11:H11"/>
    <mergeCell ref="D13:H23"/>
    <mergeCell ref="D25:H27"/>
    <mergeCell ref="B13:C13"/>
    <mergeCell ref="B10:C10"/>
    <mergeCell ref="B12:C12"/>
    <mergeCell ref="B1:H1"/>
    <mergeCell ref="D6:H6"/>
    <mergeCell ref="D7:H7"/>
    <mergeCell ref="D9:H9"/>
    <mergeCell ref="B6:C6"/>
    <mergeCell ref="B5:C5"/>
    <mergeCell ref="B7:C7"/>
    <mergeCell ref="B9:C9"/>
    <mergeCell ref="D12:H12"/>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74C99-D876-470E-944E-B074D1826050}">
  <dimension ref="B2:F55"/>
  <sheetViews>
    <sheetView showGridLines="0" workbookViewId="0"/>
  </sheetViews>
  <sheetFormatPr defaultColWidth="8.85546875" defaultRowHeight="15" x14ac:dyDescent="0.25"/>
  <cols>
    <col min="1" max="1" width="5.7109375" customWidth="1"/>
    <col min="2" max="2" width="38.42578125" customWidth="1"/>
    <col min="3" max="5" width="12.7109375" customWidth="1"/>
    <col min="6" max="6" width="15.28515625" customWidth="1"/>
  </cols>
  <sheetData>
    <row r="2" spans="2:6" x14ac:dyDescent="0.25">
      <c r="B2" s="2" t="s">
        <v>11</v>
      </c>
    </row>
    <row r="4" spans="2:6" x14ac:dyDescent="0.25">
      <c r="B4" s="142" t="s">
        <v>12</v>
      </c>
      <c r="C4" s="142"/>
      <c r="D4" s="142"/>
      <c r="E4" s="142"/>
      <c r="F4" s="142"/>
    </row>
    <row r="5" spans="2:6" x14ac:dyDescent="0.25">
      <c r="B5" s="26" t="s">
        <v>13</v>
      </c>
      <c r="C5" s="27" t="s">
        <v>14</v>
      </c>
      <c r="D5" s="28" t="s">
        <v>15</v>
      </c>
      <c r="E5" s="28" t="s">
        <v>16</v>
      </c>
      <c r="F5" s="28" t="s">
        <v>17</v>
      </c>
    </row>
    <row r="6" spans="2:6" x14ac:dyDescent="0.25">
      <c r="B6" s="48" t="s">
        <v>236</v>
      </c>
      <c r="C6" s="32" t="s">
        <v>18</v>
      </c>
      <c r="D6" s="107">
        <v>20000</v>
      </c>
      <c r="E6" s="33">
        <v>0.32</v>
      </c>
      <c r="F6" s="104">
        <f>YieldRevenueTable[[#This Row],[Units/Acre]]*YieldRevenueTable[[#This Row],[Price/Unit]]</f>
        <v>6400</v>
      </c>
    </row>
    <row r="7" spans="2:6" x14ac:dyDescent="0.25">
      <c r="B7" s="16" t="s">
        <v>237</v>
      </c>
      <c r="C7" s="12" t="s">
        <v>18</v>
      </c>
      <c r="D7" s="45">
        <v>15000</v>
      </c>
      <c r="E7" s="19">
        <v>0.25</v>
      </c>
      <c r="F7" s="54">
        <f>YieldRevenueTable[[#This Row],[Units/Acre]]*YieldRevenueTable[[#This Row],[Price/Unit]]</f>
        <v>3750</v>
      </c>
    </row>
    <row r="8" spans="2:6" x14ac:dyDescent="0.25">
      <c r="B8" s="40" t="s">
        <v>19</v>
      </c>
      <c r="C8" s="34"/>
      <c r="D8" s="108">
        <f>SUBTOTAL(109,YieldRevenueTable[Units/Acre])</f>
        <v>35000</v>
      </c>
      <c r="E8" s="10">
        <f>IF(YieldRevenueTable[[#Totals],[Units/Acre]]=0,0,YieldRevenueTable[[#Totals],[Revenue/Acre]]/YieldRevenueTable[[#Totals],[Units/Acre]])</f>
        <v>0.28999999999999998</v>
      </c>
      <c r="F8" s="53">
        <f>SUBTOTAL(109,YieldRevenueTable[Revenue/Acre])</f>
        <v>10150</v>
      </c>
    </row>
    <row r="9" spans="2:6" x14ac:dyDescent="0.25">
      <c r="B9" s="36" t="s">
        <v>20</v>
      </c>
      <c r="C9" s="36" t="s">
        <v>14</v>
      </c>
      <c r="D9" s="36" t="s">
        <v>15</v>
      </c>
      <c r="E9" s="36" t="s">
        <v>21</v>
      </c>
      <c r="F9" s="36" t="s">
        <v>22</v>
      </c>
    </row>
    <row r="10" spans="2:6" x14ac:dyDescent="0.25">
      <c r="B10" s="3" t="s">
        <v>241</v>
      </c>
      <c r="C10" s="3" t="s">
        <v>18</v>
      </c>
      <c r="D10" s="109">
        <f>YieldRevenueTable[[#Totals],[Units/Acre]]</f>
        <v>35000</v>
      </c>
      <c r="E10" s="110">
        <v>0.15</v>
      </c>
      <c r="F10" s="114">
        <f>D10*E10</f>
        <v>5250</v>
      </c>
    </row>
    <row r="11" spans="2:6" x14ac:dyDescent="0.25">
      <c r="B11" s="3"/>
      <c r="C11" s="3"/>
      <c r="D11" s="109"/>
      <c r="E11" s="110"/>
      <c r="F11" s="114">
        <f t="shared" ref="F11:F13" si="0">D11*E11</f>
        <v>0</v>
      </c>
    </row>
    <row r="12" spans="2:6" x14ac:dyDescent="0.25">
      <c r="B12" s="3"/>
      <c r="C12" s="3"/>
      <c r="D12" s="109"/>
      <c r="E12" s="111"/>
      <c r="F12" s="114">
        <f t="shared" si="0"/>
        <v>0</v>
      </c>
    </row>
    <row r="13" spans="2:6" ht="15.75" thickBot="1" x14ac:dyDescent="0.3">
      <c r="B13" s="103"/>
      <c r="C13" s="103"/>
      <c r="D13" s="112"/>
      <c r="E13" s="113"/>
      <c r="F13" s="115">
        <f t="shared" si="0"/>
        <v>0</v>
      </c>
    </row>
    <row r="14" spans="2:6" x14ac:dyDescent="0.25">
      <c r="B14" s="143" t="s">
        <v>23</v>
      </c>
      <c r="C14" s="145"/>
      <c r="D14" s="145"/>
      <c r="E14" s="145"/>
      <c r="F14" s="116" t="s">
        <v>17</v>
      </c>
    </row>
    <row r="15" spans="2:6" x14ac:dyDescent="0.25">
      <c r="B15" s="146" t="s">
        <v>24</v>
      </c>
      <c r="C15" s="147"/>
      <c r="D15" s="147"/>
      <c r="E15" s="148"/>
      <c r="F15" s="101">
        <f>YieldRevenueTable[[#Totals],[Revenue/Acre]]-SUM(F10:F13)</f>
        <v>4900</v>
      </c>
    </row>
    <row r="17" spans="2:6" ht="15.75" thickBot="1" x14ac:dyDescent="0.3">
      <c r="B17" s="136" t="s">
        <v>25</v>
      </c>
      <c r="C17" s="136"/>
      <c r="D17" s="136"/>
      <c r="E17" s="136"/>
      <c r="F17" s="136"/>
    </row>
    <row r="18" spans="2:6" x14ac:dyDescent="0.25">
      <c r="B18" s="38" t="s">
        <v>26</v>
      </c>
      <c r="C18" s="38" t="s">
        <v>14</v>
      </c>
      <c r="D18" s="39" t="s">
        <v>15</v>
      </c>
      <c r="E18" s="39" t="s">
        <v>21</v>
      </c>
      <c r="F18" s="39" t="s">
        <v>22</v>
      </c>
    </row>
    <row r="19" spans="2:6" x14ac:dyDescent="0.25">
      <c r="B19" s="3" t="s">
        <v>27</v>
      </c>
      <c r="C19" s="3" t="s">
        <v>28</v>
      </c>
      <c r="D19" s="8"/>
      <c r="E19" s="9"/>
      <c r="F19" s="10">
        <f>IF(ISBLANK(D19),SeedTable[[#Totals],[Cost/Acre]],D19*E19)</f>
        <v>412.5</v>
      </c>
    </row>
    <row r="20" spans="2:6" x14ac:dyDescent="0.25">
      <c r="B20" s="3" t="s">
        <v>226</v>
      </c>
      <c r="C20" s="3" t="s">
        <v>28</v>
      </c>
      <c r="D20" s="8"/>
      <c r="E20" s="9"/>
      <c r="F20" s="10">
        <f>IF(ISBLANK(D20),SoilAmendTable[[#Totals],[Cost/Acre]],D20*E20)</f>
        <v>21.25</v>
      </c>
    </row>
    <row r="21" spans="2:6" x14ac:dyDescent="0.25">
      <c r="B21" s="3" t="s">
        <v>29</v>
      </c>
      <c r="C21" s="3" t="s">
        <v>28</v>
      </c>
      <c r="D21" s="8"/>
      <c r="E21" s="9"/>
      <c r="F21" s="10">
        <f>IF(ISBLANK(D21),DryFertTable[[#Totals],[Cost/Acre]],D21*E21)</f>
        <v>177.96599999999998</v>
      </c>
    </row>
    <row r="22" spans="2:6" x14ac:dyDescent="0.25">
      <c r="B22" s="3" t="s">
        <v>30</v>
      </c>
      <c r="C22" s="3" t="s">
        <v>28</v>
      </c>
      <c r="D22" s="8"/>
      <c r="E22" s="9"/>
      <c r="F22" s="10">
        <f>IF(ISBLANK(D22),LiqFertTable[[#Totals],[Cost/Acre]],D22*E22)</f>
        <v>147.82499999999999</v>
      </c>
    </row>
    <row r="23" spans="2:6" x14ac:dyDescent="0.25">
      <c r="B23" s="3" t="s">
        <v>31</v>
      </c>
      <c r="C23" s="3" t="s">
        <v>32</v>
      </c>
      <c r="D23" s="11">
        <f>HerbicideTable[[#Totals],[Apps]]</f>
        <v>3</v>
      </c>
      <c r="E23" s="10">
        <f>HerbicideTable[[#Totals],[Cost/App]]</f>
        <v>25.041599999999999</v>
      </c>
      <c r="F23" s="10">
        <f>D23*E23</f>
        <v>75.124799999999993</v>
      </c>
    </row>
    <row r="24" spans="2:6" x14ac:dyDescent="0.25">
      <c r="B24" s="3" t="s">
        <v>33</v>
      </c>
      <c r="C24" s="3" t="s">
        <v>32</v>
      </c>
      <c r="D24" s="11">
        <f>FungicideTable[[#Totals],[Apps]]</f>
        <v>17</v>
      </c>
      <c r="E24" s="10">
        <f>FungicideTable[[#Totals],[Cost/App]]</f>
        <v>22.11</v>
      </c>
      <c r="F24" s="10">
        <f t="shared" ref="F24:F26" si="1">D24*E24</f>
        <v>375.87</v>
      </c>
    </row>
    <row r="25" spans="2:6" x14ac:dyDescent="0.25">
      <c r="B25" s="3" t="s">
        <v>34</v>
      </c>
      <c r="C25" s="3" t="s">
        <v>32</v>
      </c>
      <c r="D25" s="11">
        <f>InsecticideTable[[#Totals],[Apps]]</f>
        <v>2</v>
      </c>
      <c r="E25" s="10">
        <f>InsecticideTable[[#Totals],[Cost/App]]</f>
        <v>18.36</v>
      </c>
      <c r="F25" s="10">
        <f t="shared" si="1"/>
        <v>36.72</v>
      </c>
    </row>
    <row r="26" spans="2:6" x14ac:dyDescent="0.25">
      <c r="B26" s="3" t="s">
        <v>35</v>
      </c>
      <c r="C26" s="3" t="s">
        <v>32</v>
      </c>
      <c r="D26" s="11">
        <f>NematicideTable[[#Totals],[Apps]]</f>
        <v>1</v>
      </c>
      <c r="E26" s="10">
        <f>NematicideTable[[#Totals],[Cost/App]]</f>
        <v>287.25</v>
      </c>
      <c r="F26" s="10">
        <f t="shared" si="1"/>
        <v>287.25</v>
      </c>
    </row>
    <row r="27" spans="2:6" x14ac:dyDescent="0.25">
      <c r="B27" s="36" t="s">
        <v>36</v>
      </c>
      <c r="C27" s="36" t="s">
        <v>14</v>
      </c>
      <c r="D27" s="37" t="s">
        <v>15</v>
      </c>
      <c r="E27" s="37" t="s">
        <v>21</v>
      </c>
      <c r="F27" s="37" t="s">
        <v>22</v>
      </c>
    </row>
    <row r="28" spans="2:6" x14ac:dyDescent="0.25">
      <c r="B28" s="3" t="s">
        <v>37</v>
      </c>
      <c r="C28" s="3" t="s">
        <v>38</v>
      </c>
      <c r="D28" s="92">
        <f>MachOperationTable[[#Totals],[Labor Hours/Acre]]</f>
        <v>1.9158333333333333</v>
      </c>
      <c r="E28" s="10">
        <f>MachineLaborWage</f>
        <v>16.38</v>
      </c>
      <c r="F28" s="10">
        <f>D28*E28</f>
        <v>31.381349999999998</v>
      </c>
    </row>
    <row r="29" spans="2:6" x14ac:dyDescent="0.25">
      <c r="B29" s="3" t="s">
        <v>39</v>
      </c>
      <c r="C29" s="3" t="s">
        <v>40</v>
      </c>
      <c r="D29" s="92">
        <f>MachOperationTable[[#Totals],[Fuel Cost/Acre]]/DieselFuelPrice</f>
        <v>14.945833333333336</v>
      </c>
      <c r="E29" s="10">
        <f>DieselFuelPrice</f>
        <v>2.4</v>
      </c>
      <c r="F29" s="10">
        <f t="shared" ref="F29:F31" si="2">D29*E29</f>
        <v>35.870000000000005</v>
      </c>
    </row>
    <row r="30" spans="2:6" x14ac:dyDescent="0.25">
      <c r="B30" s="3" t="s">
        <v>41</v>
      </c>
      <c r="C30" s="3" t="s">
        <v>38</v>
      </c>
      <c r="D30" s="92">
        <f>MachOperationTable[[#Totals],[Machine Hours/Acre]]</f>
        <v>1.7416666666666667</v>
      </c>
      <c r="E30" s="10">
        <f>F30/D30</f>
        <v>46.415311004784691</v>
      </c>
      <c r="F30" s="10">
        <f>MachOperationTable[[#Totals],[Repair Cost/Acre]]</f>
        <v>80.84</v>
      </c>
    </row>
    <row r="31" spans="2:6" x14ac:dyDescent="0.25">
      <c r="B31" s="3" t="s">
        <v>42</v>
      </c>
      <c r="C31" s="3" t="s">
        <v>43</v>
      </c>
      <c r="D31" s="92">
        <v>1</v>
      </c>
      <c r="E31" s="10">
        <f>CustomMachineTable[[#Totals],[Cost/Acre]]</f>
        <v>30</v>
      </c>
      <c r="F31" s="10">
        <f t="shared" si="2"/>
        <v>30</v>
      </c>
    </row>
    <row r="32" spans="2:6" x14ac:dyDescent="0.25">
      <c r="B32" s="36" t="s">
        <v>44</v>
      </c>
      <c r="C32" s="36" t="s">
        <v>14</v>
      </c>
      <c r="D32" s="37" t="s">
        <v>15</v>
      </c>
      <c r="E32" s="37" t="s">
        <v>21</v>
      </c>
      <c r="F32" s="37" t="s">
        <v>22</v>
      </c>
    </row>
    <row r="33" spans="2:6" x14ac:dyDescent="0.25">
      <c r="B33" s="3" t="s">
        <v>240</v>
      </c>
      <c r="C33" s="3" t="s">
        <v>38</v>
      </c>
      <c r="D33" s="92">
        <f>SUMPRODUCT(IrrigOperationTable[Apps per Crop]*IrrigOperationTable[Labor Hours/App])/IrrigOperationTable[[#Totals],[Irrigated Acres]]</f>
        <v>0.35714285714285715</v>
      </c>
      <c r="E33" s="10">
        <f>IrrigLaborWage</f>
        <v>16.38</v>
      </c>
      <c r="F33" s="10">
        <f t="shared" ref="F33:F34" si="3">D33*E33</f>
        <v>5.85</v>
      </c>
    </row>
    <row r="34" spans="2:6" x14ac:dyDescent="0.25">
      <c r="B34" s="3" t="s">
        <v>45</v>
      </c>
      <c r="C34" s="3" t="s">
        <v>46</v>
      </c>
      <c r="D34" s="92">
        <f>((IrrigOperationTable[[#Totals],[Electricity Cost]]/ElectricityPrice)/IrrigOperationTable[[#Totals],[Irrigated Acres]])</f>
        <v>199.19999999999996</v>
      </c>
      <c r="E34" s="10">
        <f>ElectricityPrice</f>
        <v>0.12</v>
      </c>
      <c r="F34" s="10">
        <f t="shared" si="3"/>
        <v>23.903999999999993</v>
      </c>
    </row>
    <row r="35" spans="2:6" x14ac:dyDescent="0.25">
      <c r="B35" s="3" t="s">
        <v>47</v>
      </c>
      <c r="C35" s="3" t="s">
        <v>48</v>
      </c>
      <c r="D35" s="11">
        <f>SUMPRODUCT(IrrigOperationTable[Apps per Crop],IrrigOperationTable[Acre Inches per App])</f>
        <v>7</v>
      </c>
      <c r="E35" s="10">
        <f>F35/D35</f>
        <v>2.89</v>
      </c>
      <c r="F35" s="10">
        <f>IrrigOperationTable[[#Totals],[Repair Cost]]/IrrigOperationTable[[#Totals],[Irrigated Acres]]</f>
        <v>20.23</v>
      </c>
    </row>
    <row r="36" spans="2:6" x14ac:dyDescent="0.25">
      <c r="B36" s="36" t="s">
        <v>49</v>
      </c>
      <c r="C36" s="36" t="s">
        <v>14</v>
      </c>
      <c r="D36" s="37" t="s">
        <v>15</v>
      </c>
      <c r="E36" s="37" t="s">
        <v>21</v>
      </c>
      <c r="F36" s="37" t="s">
        <v>22</v>
      </c>
    </row>
    <row r="37" spans="2:6" x14ac:dyDescent="0.25">
      <c r="B37" s="3" t="s">
        <v>50</v>
      </c>
      <c r="C37" s="3" t="s">
        <v>43</v>
      </c>
      <c r="D37" s="92">
        <v>1</v>
      </c>
      <c r="E37" s="10">
        <f>OtherLaborActivitiesTable[[#Totals],[Cost/Acre]]</f>
        <v>7.5</v>
      </c>
      <c r="F37" s="10">
        <f>D37*E37</f>
        <v>7.5</v>
      </c>
    </row>
    <row r="38" spans="2:6" x14ac:dyDescent="0.25">
      <c r="B38" s="3" t="s">
        <v>51</v>
      </c>
      <c r="C38" s="3" t="s">
        <v>43</v>
      </c>
      <c r="D38" s="99"/>
      <c r="E38" s="99"/>
      <c r="F38" s="10">
        <f>OtherOpCostTable[[#Totals],[Cost/Acre]]</f>
        <v>10</v>
      </c>
    </row>
    <row r="39" spans="2:6" x14ac:dyDescent="0.25">
      <c r="B39" s="3" t="s">
        <v>52</v>
      </c>
      <c r="C39" s="3" t="s">
        <v>53</v>
      </c>
      <c r="D39" s="99"/>
      <c r="E39" s="99"/>
      <c r="F39" s="10">
        <f>Int_Cost_Acre</f>
        <v>54.074431855788283</v>
      </c>
    </row>
    <row r="40" spans="2:6" x14ac:dyDescent="0.25">
      <c r="B40" s="139" t="s">
        <v>54</v>
      </c>
      <c r="C40" s="139"/>
      <c r="D40" s="139"/>
      <c r="E40" s="139"/>
      <c r="F40" s="105">
        <f>SUM(F18:F39)</f>
        <v>1834.1555818557881</v>
      </c>
    </row>
    <row r="42" spans="2:6" ht="15.75" thickBot="1" x14ac:dyDescent="0.3">
      <c r="B42" s="136" t="s">
        <v>244</v>
      </c>
      <c r="C42" s="136"/>
      <c r="D42" s="136"/>
      <c r="E42" s="136"/>
      <c r="F42" s="136"/>
    </row>
    <row r="43" spans="2:6" x14ac:dyDescent="0.25">
      <c r="B43" s="143" t="s">
        <v>55</v>
      </c>
      <c r="C43" s="144"/>
      <c r="D43" s="39" t="s">
        <v>56</v>
      </c>
      <c r="E43" s="39" t="s">
        <v>57</v>
      </c>
      <c r="F43" s="39" t="s">
        <v>22</v>
      </c>
    </row>
    <row r="44" spans="2:6" x14ac:dyDescent="0.25">
      <c r="B44" s="140" t="s">
        <v>58</v>
      </c>
      <c r="C44" s="141"/>
      <c r="D44" s="53">
        <f>MachOwnershipTable[[#Totals],[Total Annual Cost]]</f>
        <v>107152.32776647789</v>
      </c>
      <c r="E44" s="92">
        <f>MachOwnershipTable[[#Totals],[Crop Acres per Year]]</f>
        <v>559.99999999999989</v>
      </c>
      <c r="F44" s="10">
        <f>MachOwnershipTable[[#Totals],[Cost per Crop Acre]]</f>
        <v>191.34344244013911</v>
      </c>
    </row>
    <row r="45" spans="2:6" x14ac:dyDescent="0.25">
      <c r="B45" s="140" t="s">
        <v>59</v>
      </c>
      <c r="C45" s="141"/>
      <c r="D45" s="53">
        <f>IrrigOwnershipTable[[#Totals],[Total Annual Cost]]</f>
        <v>13105.323398836415</v>
      </c>
      <c r="E45" s="11">
        <f>IrrigOwnershipTable[[#Totals],[Crop Acres per Year]]</f>
        <v>280</v>
      </c>
      <c r="F45" s="10">
        <f>IrrigOwnershipTable[[#Totals],[Cost per Crop Acre]]</f>
        <v>46.804726424415769</v>
      </c>
    </row>
    <row r="46" spans="2:6" x14ac:dyDescent="0.25">
      <c r="B46" s="138" t="s">
        <v>60</v>
      </c>
      <c r="C46" s="138"/>
      <c r="D46" s="100"/>
      <c r="E46" s="99"/>
      <c r="F46" s="10">
        <f>OtherDetail!I20</f>
        <v>128.57142857142858</v>
      </c>
    </row>
    <row r="47" spans="2:6" x14ac:dyDescent="0.25">
      <c r="B47" s="138" t="s">
        <v>61</v>
      </c>
      <c r="C47" s="138"/>
      <c r="D47" s="100"/>
      <c r="E47" s="99"/>
      <c r="F47" s="10">
        <f>OtherDetail!I21</f>
        <v>223.21428571428569</v>
      </c>
    </row>
    <row r="48" spans="2:6" x14ac:dyDescent="0.25">
      <c r="B48" s="139" t="s">
        <v>54</v>
      </c>
      <c r="C48" s="139"/>
      <c r="D48" s="139"/>
      <c r="E48" s="139"/>
      <c r="F48" s="105">
        <f>SUM(F44:F47)</f>
        <v>589.93388315026914</v>
      </c>
    </row>
    <row r="50" spans="2:6" ht="15.75" thickBot="1" x14ac:dyDescent="0.3">
      <c r="B50" s="136" t="s">
        <v>245</v>
      </c>
      <c r="C50" s="136"/>
      <c r="D50" s="136"/>
      <c r="E50" s="136"/>
      <c r="F50" s="136"/>
    </row>
    <row r="51" spans="2:6" x14ac:dyDescent="0.25">
      <c r="B51" s="137" t="s">
        <v>62</v>
      </c>
      <c r="C51" s="137"/>
      <c r="D51" s="137"/>
      <c r="E51" s="137"/>
      <c r="F51" s="39" t="s">
        <v>63</v>
      </c>
    </row>
    <row r="52" spans="2:6" x14ac:dyDescent="0.25">
      <c r="B52" s="138" t="s">
        <v>64</v>
      </c>
      <c r="C52" s="138"/>
      <c r="D52" s="138"/>
      <c r="E52" s="138"/>
      <c r="F52" s="105">
        <f>PreharvestRevenuePerAcre-OpCostPerAcre</f>
        <v>3065.8444181442119</v>
      </c>
    </row>
    <row r="53" spans="2:6" x14ac:dyDescent="0.25">
      <c r="B53" s="138" t="s">
        <v>65</v>
      </c>
      <c r="C53" s="138"/>
      <c r="D53" s="138"/>
      <c r="E53" s="138"/>
      <c r="F53" s="105">
        <f>F52-OwnCostPerAcre</f>
        <v>2475.9105349939427</v>
      </c>
    </row>
    <row r="54" spans="2:6" x14ac:dyDescent="0.25">
      <c r="B54" s="159" t="s">
        <v>246</v>
      </c>
      <c r="C54" s="159"/>
      <c r="D54" s="159"/>
      <c r="E54" s="159"/>
      <c r="F54" s="159"/>
    </row>
    <row r="55" spans="2:6" x14ac:dyDescent="0.25">
      <c r="B55" s="160"/>
      <c r="C55" s="160"/>
      <c r="D55" s="160"/>
      <c r="E55" s="160"/>
      <c r="F55" s="160"/>
    </row>
  </sheetData>
  <sheetProtection algorithmName="SHA-512" hashValue="h8kfjxuzRBAafpcY/8uZFdOZJ9ZDJ1KWrg6sIk9sT1cKaygcazeGc7rDQnmRF2QpD6rUkE7o004i0F4sCPfQVw==" saltValue="xgRfzrOgVJWYbDgFnDXBuA==" spinCount="100000" sheet="1" objects="1" scenarios="1"/>
  <mergeCells count="17">
    <mergeCell ref="B54:F55"/>
    <mergeCell ref="B44:C44"/>
    <mergeCell ref="B46:C46"/>
    <mergeCell ref="B45:C45"/>
    <mergeCell ref="B4:F4"/>
    <mergeCell ref="B17:F17"/>
    <mergeCell ref="B42:F42"/>
    <mergeCell ref="B43:C43"/>
    <mergeCell ref="B40:E40"/>
    <mergeCell ref="B14:E14"/>
    <mergeCell ref="B15:E15"/>
    <mergeCell ref="B50:F50"/>
    <mergeCell ref="B51:E51"/>
    <mergeCell ref="B52:E52"/>
    <mergeCell ref="B53:E53"/>
    <mergeCell ref="B47:C47"/>
    <mergeCell ref="B48:E48"/>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B9863-B827-4EE7-B555-42F765E918DA}">
  <dimension ref="B1:G8"/>
  <sheetViews>
    <sheetView showGridLines="0" workbookViewId="0"/>
  </sheetViews>
  <sheetFormatPr defaultColWidth="8.85546875" defaultRowHeight="15" x14ac:dyDescent="0.25"/>
  <cols>
    <col min="1" max="1" width="5.7109375" customWidth="1"/>
    <col min="2" max="2" width="23.42578125" customWidth="1"/>
    <col min="3" max="3" width="11.7109375" customWidth="1"/>
    <col min="4" max="4" width="12.7109375" customWidth="1"/>
    <col min="5" max="5" width="11.7109375" customWidth="1"/>
    <col min="6" max="6" width="11.85546875" customWidth="1"/>
    <col min="7" max="7" width="40.7109375" customWidth="1"/>
  </cols>
  <sheetData>
    <row r="1" spans="2:7" x14ac:dyDescent="0.25">
      <c r="B1" s="17"/>
    </row>
    <row r="2" spans="2:7" x14ac:dyDescent="0.25">
      <c r="B2" s="35" t="s">
        <v>66</v>
      </c>
    </row>
    <row r="3" spans="2:7" x14ac:dyDescent="0.25">
      <c r="B3" s="17"/>
    </row>
    <row r="4" spans="2:7" x14ac:dyDescent="0.25">
      <c r="B4" s="26" t="s">
        <v>67</v>
      </c>
      <c r="C4" s="27" t="s">
        <v>14</v>
      </c>
      <c r="D4" s="28" t="s">
        <v>15</v>
      </c>
      <c r="E4" s="28" t="s">
        <v>21</v>
      </c>
      <c r="F4" s="28" t="s">
        <v>22</v>
      </c>
      <c r="G4" s="29" t="s">
        <v>68</v>
      </c>
    </row>
    <row r="5" spans="2:7" x14ac:dyDescent="0.25">
      <c r="B5" s="20" t="s">
        <v>69</v>
      </c>
      <c r="C5" s="21" t="s">
        <v>70</v>
      </c>
      <c r="D5" s="8">
        <v>550</v>
      </c>
      <c r="E5" s="9">
        <v>0.75</v>
      </c>
      <c r="F5" s="10">
        <f>SeedTable[[#This Row],[Units/Acre]]*SeedTable[[#This Row],[Cost/Unit]]</f>
        <v>412.5</v>
      </c>
      <c r="G5" s="24"/>
    </row>
    <row r="6" spans="2:7" x14ac:dyDescent="0.25">
      <c r="B6" s="20"/>
      <c r="C6" s="21"/>
      <c r="D6" s="8"/>
      <c r="E6" s="9"/>
      <c r="F6" s="10">
        <f>SeedTable[[#This Row],[Units/Acre]]*SeedTable[[#This Row],[Cost/Unit]]</f>
        <v>0</v>
      </c>
      <c r="G6" s="24"/>
    </row>
    <row r="7" spans="2:7" x14ac:dyDescent="0.25">
      <c r="B7" s="22"/>
      <c r="C7" s="23"/>
      <c r="D7" s="8"/>
      <c r="E7" s="9"/>
      <c r="F7" s="14">
        <f>SeedTable[[#This Row],[Units/Acre]]*SeedTable[[#This Row],[Cost/Unit]]</f>
        <v>0</v>
      </c>
      <c r="G7" s="25"/>
    </row>
    <row r="8" spans="2:7" x14ac:dyDescent="0.25">
      <c r="B8" s="24" t="s">
        <v>54</v>
      </c>
      <c r="C8" s="20"/>
      <c r="D8" s="31">
        <f>SUBTOTAL(109,SeedTable[Units/Acre])</f>
        <v>550</v>
      </c>
      <c r="E8" s="30">
        <f>IF(SeedTable[[#Totals],[Units/Acre]]=0,0,SeedTable[[#Totals],[Cost/Acre]]/SeedTable[[#Totals],[Units/Acre]])</f>
        <v>0.75</v>
      </c>
      <c r="F8" s="14">
        <f>SUBTOTAL(109,SeedTable[Cost/Acre])</f>
        <v>412.5</v>
      </c>
      <c r="G8" s="25"/>
    </row>
  </sheetData>
  <sheetProtection algorithmName="SHA-512" hashValue="v4WNtPE+DJLS2xWNnUZYw14ctGERPg1JETbQcjyiDyTbgVye6vlwG1iHPqAgMsO0xlv3HiXfxxhGcZBnGkGnUA==" saltValue="6bGawLOK7CNlqRkBwShYfg==" spinCount="100000" sheet="1" objects="1" scenarios="1"/>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83FED-FCFB-46F5-82D1-049B5C19A170}">
  <dimension ref="B2:J26"/>
  <sheetViews>
    <sheetView showGridLines="0" workbookViewId="0"/>
  </sheetViews>
  <sheetFormatPr defaultColWidth="8.85546875" defaultRowHeight="15" x14ac:dyDescent="0.25"/>
  <cols>
    <col min="1" max="1" width="5.7109375" customWidth="1"/>
    <col min="2" max="2" width="30.140625" customWidth="1"/>
    <col min="3" max="3" width="9.42578125" customWidth="1"/>
    <col min="4" max="4" width="14" customWidth="1"/>
    <col min="5" max="5" width="13" customWidth="1"/>
    <col min="6" max="6" width="13.140625" customWidth="1"/>
    <col min="7" max="7" width="9.7109375" customWidth="1"/>
    <col min="8" max="8" width="12.42578125" customWidth="1"/>
    <col min="9" max="9" width="11.42578125" customWidth="1"/>
    <col min="10" max="10" width="51.42578125" customWidth="1"/>
  </cols>
  <sheetData>
    <row r="2" spans="2:10" x14ac:dyDescent="0.25">
      <c r="B2" s="149" t="s">
        <v>71</v>
      </c>
      <c r="C2" s="149"/>
    </row>
    <row r="4" spans="2:10" ht="18" x14ac:dyDescent="0.35">
      <c r="B4" s="41" t="s">
        <v>72</v>
      </c>
      <c r="C4" s="38" t="s">
        <v>14</v>
      </c>
      <c r="D4" s="39" t="s">
        <v>15</v>
      </c>
      <c r="E4" s="39" t="s">
        <v>21</v>
      </c>
      <c r="F4" s="39" t="s">
        <v>22</v>
      </c>
      <c r="G4" s="39" t="s">
        <v>73</v>
      </c>
      <c r="H4" s="39" t="s">
        <v>74</v>
      </c>
      <c r="I4" s="39" t="s">
        <v>75</v>
      </c>
      <c r="J4" s="42" t="s">
        <v>68</v>
      </c>
    </row>
    <row r="5" spans="2:10" x14ac:dyDescent="0.25">
      <c r="B5" s="20" t="s">
        <v>76</v>
      </c>
      <c r="C5" s="21" t="s">
        <v>77</v>
      </c>
      <c r="D5" s="8">
        <v>0.5</v>
      </c>
      <c r="E5" s="9">
        <v>25</v>
      </c>
      <c r="F5" s="10">
        <f>SoilAmendTable[[#This Row],[Units/Acre]]*SoilAmendTable[[#This Row],[Cost/Unit]]</f>
        <v>12.5</v>
      </c>
      <c r="G5" s="44"/>
      <c r="H5" s="44"/>
      <c r="I5" s="44"/>
      <c r="J5" s="24" t="s">
        <v>78</v>
      </c>
    </row>
    <row r="6" spans="2:10" x14ac:dyDescent="0.25">
      <c r="B6" s="16" t="s">
        <v>79</v>
      </c>
      <c r="C6" s="12" t="s">
        <v>77</v>
      </c>
      <c r="D6" s="18">
        <v>0.25</v>
      </c>
      <c r="E6" s="19">
        <v>35</v>
      </c>
      <c r="F6" s="14">
        <f>SoilAmendTable[[#This Row],[Units/Acre]]*SoilAmendTable[[#This Row],[Cost/Unit]]</f>
        <v>8.75</v>
      </c>
      <c r="G6" s="45"/>
      <c r="H6" s="45"/>
      <c r="I6" s="45"/>
      <c r="J6" s="24" t="s">
        <v>78</v>
      </c>
    </row>
    <row r="7" spans="2:10" x14ac:dyDescent="0.25">
      <c r="B7" s="40" t="s">
        <v>54</v>
      </c>
      <c r="C7" s="34"/>
      <c r="D7" s="31">
        <f>SUBTOTAL(109,SoilAmendTable[Units/Acre])</f>
        <v>0.75</v>
      </c>
      <c r="E7" s="14">
        <f>IF(SoilAmendTable[[#Totals],[Units/Acre]]=0,0,SoilAmendTable[[#Totals],[Cost/Acre]]/SoilAmendTable[[#Totals],[Units/Acre]])</f>
        <v>28.333333333333332</v>
      </c>
      <c r="F7" s="14">
        <f>SUBTOTAL(109,SoilAmendTable[Cost/Acre])</f>
        <v>21.25</v>
      </c>
      <c r="G7" s="43">
        <f>SUBTOTAL(109,SoilAmendTable[N/Acre])</f>
        <v>0</v>
      </c>
      <c r="H7" s="43">
        <f>SUBTOTAL(109,SoilAmendTable[P2O5/Acre])</f>
        <v>0</v>
      </c>
      <c r="I7" s="43">
        <f>SUBTOTAL(109,SoilAmendTable[K2O/Acre])</f>
        <v>0</v>
      </c>
      <c r="J7" s="15"/>
    </row>
    <row r="8" spans="2:10" x14ac:dyDescent="0.25">
      <c r="B8" s="1"/>
    </row>
    <row r="9" spans="2:10" ht="18" x14ac:dyDescent="0.35">
      <c r="B9" s="41" t="s">
        <v>80</v>
      </c>
      <c r="C9" s="38" t="s">
        <v>14</v>
      </c>
      <c r="D9" s="46" t="s">
        <v>15</v>
      </c>
      <c r="E9" s="46" t="s">
        <v>21</v>
      </c>
      <c r="F9" s="46" t="s">
        <v>22</v>
      </c>
      <c r="G9" s="39" t="s">
        <v>73</v>
      </c>
      <c r="H9" s="39" t="s">
        <v>74</v>
      </c>
      <c r="I9" s="39" t="s">
        <v>75</v>
      </c>
      <c r="J9" s="42" t="s">
        <v>68</v>
      </c>
    </row>
    <row r="10" spans="2:10" x14ac:dyDescent="0.25">
      <c r="B10" s="20" t="s">
        <v>239</v>
      </c>
      <c r="C10" s="21" t="s">
        <v>81</v>
      </c>
      <c r="D10" s="8">
        <v>300</v>
      </c>
      <c r="E10" s="9">
        <v>0.28000000000000003</v>
      </c>
      <c r="F10" s="10">
        <f>DryFertTable[[#This Row],[Units/Acre]]*DryFertTable[[#This Row],[Cost/Unit]]</f>
        <v>84.000000000000014</v>
      </c>
      <c r="G10" s="44">
        <v>39</v>
      </c>
      <c r="H10" s="44">
        <v>12</v>
      </c>
      <c r="I10" s="44">
        <v>39</v>
      </c>
      <c r="J10" s="24" t="s">
        <v>78</v>
      </c>
    </row>
    <row r="11" spans="2:10" x14ac:dyDescent="0.25">
      <c r="B11" s="20" t="s">
        <v>82</v>
      </c>
      <c r="C11" s="21" t="s">
        <v>81</v>
      </c>
      <c r="D11" s="8">
        <v>60</v>
      </c>
      <c r="E11" s="9">
        <v>0.22500000000000001</v>
      </c>
      <c r="F11" s="10">
        <f>DryFertTable[[#This Row],[Units/Acre]]*DryFertTable[[#This Row],[Cost/Unit]]</f>
        <v>13.5</v>
      </c>
      <c r="G11" s="44">
        <v>11</v>
      </c>
      <c r="H11" s="44">
        <v>28</v>
      </c>
      <c r="I11" s="44">
        <v>0</v>
      </c>
      <c r="J11" s="24" t="s">
        <v>78</v>
      </c>
    </row>
    <row r="12" spans="2:10" x14ac:dyDescent="0.25">
      <c r="B12" s="20" t="s">
        <v>83</v>
      </c>
      <c r="C12" s="21" t="s">
        <v>81</v>
      </c>
      <c r="D12" s="8">
        <v>350</v>
      </c>
      <c r="E12" s="9">
        <v>0.16250000000000001</v>
      </c>
      <c r="F12" s="10">
        <f>DryFertTable[[#This Row],[Units/Acre]]*DryFertTable[[#This Row],[Cost/Unit]]</f>
        <v>56.875</v>
      </c>
      <c r="G12" s="44">
        <v>0</v>
      </c>
      <c r="H12" s="44">
        <v>0</v>
      </c>
      <c r="I12" s="44">
        <v>210</v>
      </c>
      <c r="J12" s="24" t="s">
        <v>78</v>
      </c>
    </row>
    <row r="13" spans="2:10" x14ac:dyDescent="0.25">
      <c r="B13" s="20" t="s">
        <v>84</v>
      </c>
      <c r="C13" s="21" t="s">
        <v>81</v>
      </c>
      <c r="D13" s="8">
        <v>20</v>
      </c>
      <c r="E13" s="9">
        <v>0.25</v>
      </c>
      <c r="F13" s="10">
        <f>DryFertTable[[#This Row],[Units/Acre]]*DryFertTable[[#This Row],[Cost/Unit]]</f>
        <v>5</v>
      </c>
      <c r="G13" s="44"/>
      <c r="H13" s="44"/>
      <c r="I13" s="44"/>
      <c r="J13" s="24" t="s">
        <v>78</v>
      </c>
    </row>
    <row r="14" spans="2:10" x14ac:dyDescent="0.25">
      <c r="B14" s="20" t="s">
        <v>85</v>
      </c>
      <c r="C14" s="21" t="s">
        <v>81</v>
      </c>
      <c r="D14" s="8">
        <v>13</v>
      </c>
      <c r="E14" s="9">
        <v>0.42349999999999999</v>
      </c>
      <c r="F14" s="10">
        <f>DryFertTable[[#This Row],[Units/Acre]]*DryFertTable[[#This Row],[Cost/Unit]]</f>
        <v>5.5054999999999996</v>
      </c>
      <c r="G14" s="44"/>
      <c r="H14" s="44"/>
      <c r="I14" s="44"/>
      <c r="J14" s="24" t="s">
        <v>78</v>
      </c>
    </row>
    <row r="15" spans="2:10" x14ac:dyDescent="0.25">
      <c r="B15" s="20" t="s">
        <v>86</v>
      </c>
      <c r="C15" s="21" t="s">
        <v>81</v>
      </c>
      <c r="D15" s="8">
        <v>6</v>
      </c>
      <c r="E15" s="9">
        <v>1.625</v>
      </c>
      <c r="F15" s="10">
        <f>DryFertTable[[#This Row],[Units/Acre]]*DryFertTable[[#This Row],[Cost/Unit]]</f>
        <v>9.75</v>
      </c>
      <c r="G15" s="44"/>
      <c r="H15" s="44"/>
      <c r="I15" s="44"/>
      <c r="J15" s="24" t="s">
        <v>78</v>
      </c>
    </row>
    <row r="16" spans="2:10" x14ac:dyDescent="0.25">
      <c r="B16" s="20" t="s">
        <v>87</v>
      </c>
      <c r="C16" s="21" t="s">
        <v>81</v>
      </c>
      <c r="D16" s="8">
        <v>2</v>
      </c>
      <c r="E16" s="9">
        <v>0.2225</v>
      </c>
      <c r="F16" s="10">
        <f>DryFertTable[[#This Row],[Units/Acre]]*DryFertTable[[#This Row],[Cost/Unit]]</f>
        <v>0.44500000000000001</v>
      </c>
      <c r="G16" s="44"/>
      <c r="H16" s="44"/>
      <c r="I16" s="44"/>
      <c r="J16" s="24" t="s">
        <v>78</v>
      </c>
    </row>
    <row r="17" spans="2:10" x14ac:dyDescent="0.25">
      <c r="B17" s="20" t="s">
        <v>88</v>
      </c>
      <c r="C17" s="21" t="s">
        <v>81</v>
      </c>
      <c r="D17" s="8">
        <v>3.5</v>
      </c>
      <c r="E17" s="9">
        <v>0.495</v>
      </c>
      <c r="F17" s="10">
        <f>DryFertTable[[#This Row],[Units/Acre]]*DryFertTable[[#This Row],[Cost/Unit]]</f>
        <v>1.7324999999999999</v>
      </c>
      <c r="G17" s="44"/>
      <c r="H17" s="44"/>
      <c r="I17" s="44"/>
      <c r="J17" s="24" t="s">
        <v>78</v>
      </c>
    </row>
    <row r="18" spans="2:10" x14ac:dyDescent="0.25">
      <c r="B18" s="22" t="s">
        <v>89</v>
      </c>
      <c r="C18" s="23" t="s">
        <v>81</v>
      </c>
      <c r="D18" s="18">
        <v>2</v>
      </c>
      <c r="E18" s="19">
        <v>0.57899999999999996</v>
      </c>
      <c r="F18" s="14">
        <f>DryFertTable[[#This Row],[Units/Acre]]*DryFertTable[[#This Row],[Cost/Unit]]</f>
        <v>1.1579999999999999</v>
      </c>
      <c r="G18" s="45"/>
      <c r="H18" s="45"/>
      <c r="I18" s="45"/>
      <c r="J18" s="24" t="s">
        <v>78</v>
      </c>
    </row>
    <row r="19" spans="2:10" x14ac:dyDescent="0.25">
      <c r="B19" s="40" t="s">
        <v>54</v>
      </c>
      <c r="C19" s="34"/>
      <c r="D19" s="31"/>
      <c r="E19" s="14"/>
      <c r="F19" s="14">
        <f>SUBTOTAL(109,DryFertTable[Cost/Acre])</f>
        <v>177.96599999999998</v>
      </c>
      <c r="G19" s="43">
        <f>SUBTOTAL(109,DryFertTable[N/Acre])</f>
        <v>50</v>
      </c>
      <c r="H19" s="43">
        <f>SUBTOTAL(109,DryFertTable[P2O5/Acre])</f>
        <v>40</v>
      </c>
      <c r="I19" s="43">
        <f>SUBTOTAL(109,DryFertTable[K2O/Acre])</f>
        <v>249</v>
      </c>
      <c r="J19" s="25"/>
    </row>
    <row r="20" spans="2:10" x14ac:dyDescent="0.25">
      <c r="B20" s="1"/>
    </row>
    <row r="21" spans="2:10" ht="18" x14ac:dyDescent="0.35">
      <c r="B21" s="41" t="s">
        <v>90</v>
      </c>
      <c r="C21" s="38" t="s">
        <v>14</v>
      </c>
      <c r="D21" s="39" t="s">
        <v>15</v>
      </c>
      <c r="E21" s="39" t="s">
        <v>21</v>
      </c>
      <c r="F21" s="39" t="s">
        <v>22</v>
      </c>
      <c r="G21" s="39" t="s">
        <v>73</v>
      </c>
      <c r="H21" s="39" t="s">
        <v>74</v>
      </c>
      <c r="I21" s="39" t="s">
        <v>75</v>
      </c>
      <c r="J21" s="42" t="s">
        <v>68</v>
      </c>
    </row>
    <row r="22" spans="2:10" x14ac:dyDescent="0.25">
      <c r="B22" s="20" t="s">
        <v>91</v>
      </c>
      <c r="C22" s="21" t="s">
        <v>81</v>
      </c>
      <c r="D22" s="8">
        <v>100</v>
      </c>
      <c r="E22" s="9">
        <v>0.3075</v>
      </c>
      <c r="F22" s="10">
        <f t="shared" ref="F22:F23" si="0">D22*E22</f>
        <v>30.75</v>
      </c>
      <c r="G22" s="44">
        <v>10</v>
      </c>
      <c r="H22" s="44">
        <v>34</v>
      </c>
      <c r="I22" s="44">
        <v>0</v>
      </c>
      <c r="J22" s="24" t="s">
        <v>92</v>
      </c>
    </row>
    <row r="23" spans="2:10" x14ac:dyDescent="0.25">
      <c r="B23" s="20" t="s">
        <v>93</v>
      </c>
      <c r="C23" s="21" t="s">
        <v>81</v>
      </c>
      <c r="D23" s="8">
        <v>669</v>
      </c>
      <c r="E23" s="9">
        <v>0.17499999999999999</v>
      </c>
      <c r="F23" s="10">
        <f t="shared" si="0"/>
        <v>117.07499999999999</v>
      </c>
      <c r="G23" s="44">
        <v>215</v>
      </c>
      <c r="H23" s="44">
        <v>0</v>
      </c>
      <c r="I23" s="44">
        <v>0</v>
      </c>
      <c r="J23" s="24" t="s">
        <v>94</v>
      </c>
    </row>
    <row r="24" spans="2:10" x14ac:dyDescent="0.25">
      <c r="B24" s="20" t="s">
        <v>95</v>
      </c>
      <c r="C24" s="21" t="s">
        <v>81</v>
      </c>
      <c r="D24" s="8">
        <v>0</v>
      </c>
      <c r="E24" s="9">
        <v>0.19</v>
      </c>
      <c r="F24" s="10">
        <f>D24*E24</f>
        <v>0</v>
      </c>
      <c r="G24" s="44"/>
      <c r="H24" s="44"/>
      <c r="I24" s="44"/>
      <c r="J24" s="24"/>
    </row>
    <row r="25" spans="2:10" x14ac:dyDescent="0.25">
      <c r="B25" s="40" t="s">
        <v>54</v>
      </c>
      <c r="C25" s="34"/>
      <c r="D25" s="31"/>
      <c r="E25" s="14"/>
      <c r="F25" s="14">
        <f>SUBTOTAL(109,LiqFertTable[Cost/Acre])</f>
        <v>147.82499999999999</v>
      </c>
      <c r="G25" s="43">
        <f>SUBTOTAL(109,LiqFertTable[N/Acre])</f>
        <v>225</v>
      </c>
      <c r="H25" s="43">
        <f>SUBTOTAL(109,LiqFertTable[P2O5/Acre])</f>
        <v>34</v>
      </c>
      <c r="I25" s="43">
        <f>SUBTOTAL(109,LiqFertTable[K2O/Acre])</f>
        <v>0</v>
      </c>
      <c r="J25" s="25"/>
    </row>
    <row r="26" spans="2:10" x14ac:dyDescent="0.25">
      <c r="B26" s="1"/>
    </row>
  </sheetData>
  <sheetProtection algorithmName="SHA-512" hashValue="KJH7NUhE2dTDoS1ITNHdP5oxGOuTkUVhuQE0ddurUflzJ8hwq3ARkdDqdQJqT4dIuSGOzJ5yxZ+/QL8DEOHeHA==" saltValue="hNVfWSii7vwEtqv9cYkcHg==" spinCount="100000" sheet="1" objects="1" scenarios="1"/>
  <mergeCells count="1">
    <mergeCell ref="B2:C2"/>
  </mergeCells>
  <pageMargins left="0.7" right="0.7" top="0.75" bottom="0.75" header="0.3" footer="0.3"/>
  <pageSetup orientation="portrait"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DC628-9D7B-455E-AE9C-C47BAACEF6AE}">
  <dimension ref="B2:L34"/>
  <sheetViews>
    <sheetView showGridLines="0" workbookViewId="0"/>
  </sheetViews>
  <sheetFormatPr defaultColWidth="8.85546875" defaultRowHeight="15" x14ac:dyDescent="0.25"/>
  <cols>
    <col min="1" max="1" width="5.7109375" customWidth="1"/>
    <col min="2" max="2" width="28" bestFit="1" customWidth="1"/>
    <col min="3" max="3" width="28.42578125" bestFit="1" customWidth="1"/>
    <col min="4" max="4" width="7.42578125" bestFit="1" customWidth="1"/>
    <col min="5" max="5" width="13" customWidth="1"/>
    <col min="6" max="6" width="7.42578125" customWidth="1"/>
    <col min="7" max="7" width="11.7109375" customWidth="1"/>
    <col min="8" max="8" width="11.42578125" customWidth="1"/>
    <col min="9" max="9" width="11.85546875" customWidth="1"/>
    <col min="10" max="10" width="33.7109375" customWidth="1"/>
    <col min="11" max="11" width="2.28515625" customWidth="1"/>
  </cols>
  <sheetData>
    <row r="2" spans="2:12" x14ac:dyDescent="0.25">
      <c r="B2" s="2" t="s">
        <v>96</v>
      </c>
      <c r="C2" s="4"/>
      <c r="D2" s="4"/>
    </row>
    <row r="3" spans="2:12" x14ac:dyDescent="0.25">
      <c r="B3" s="4"/>
      <c r="C3" s="4"/>
      <c r="D3" s="4"/>
    </row>
    <row r="4" spans="2:12" x14ac:dyDescent="0.25">
      <c r="B4" s="142" t="s">
        <v>97</v>
      </c>
      <c r="C4" s="142"/>
      <c r="D4" s="142"/>
      <c r="E4" s="142"/>
      <c r="F4" s="142"/>
      <c r="G4" s="142"/>
      <c r="H4" s="142"/>
      <c r="I4" s="142"/>
      <c r="J4" s="142"/>
    </row>
    <row r="5" spans="2:12" x14ac:dyDescent="0.25">
      <c r="B5" s="41" t="s">
        <v>98</v>
      </c>
      <c r="C5" s="38" t="s">
        <v>99</v>
      </c>
      <c r="D5" s="38" t="s">
        <v>14</v>
      </c>
      <c r="E5" s="39" t="s">
        <v>100</v>
      </c>
      <c r="F5" s="39" t="s">
        <v>101</v>
      </c>
      <c r="G5" s="39" t="s">
        <v>21</v>
      </c>
      <c r="H5" s="39" t="s">
        <v>102</v>
      </c>
      <c r="I5" s="39" t="s">
        <v>22</v>
      </c>
      <c r="J5" s="42" t="s">
        <v>68</v>
      </c>
    </row>
    <row r="6" spans="2:12" x14ac:dyDescent="0.25">
      <c r="B6" s="20" t="s">
        <v>103</v>
      </c>
      <c r="C6" s="21" t="s">
        <v>104</v>
      </c>
      <c r="D6" s="21" t="s">
        <v>105</v>
      </c>
      <c r="E6" s="8">
        <v>16</v>
      </c>
      <c r="F6" s="8">
        <v>1</v>
      </c>
      <c r="G6" s="9">
        <v>0.1953</v>
      </c>
      <c r="H6" s="10">
        <f>HerbicideTable[[#This Row],[Units/App/A]]*HerbicideTable[[#This Row],[Cost/Unit]]</f>
        <v>3.1248</v>
      </c>
      <c r="I6" s="10">
        <f>HerbicideTable[[#This Row],[Apps]]*HerbicideTable[[#This Row],[Cost/App]]</f>
        <v>3.1248</v>
      </c>
      <c r="J6" s="24" t="s">
        <v>106</v>
      </c>
    </row>
    <row r="7" spans="2:12" x14ac:dyDescent="0.25">
      <c r="B7" s="20" t="s">
        <v>107</v>
      </c>
      <c r="C7" s="21" t="s">
        <v>108</v>
      </c>
      <c r="D7" s="21" t="s">
        <v>81</v>
      </c>
      <c r="E7" s="8">
        <v>1.5</v>
      </c>
      <c r="F7" s="8">
        <v>2</v>
      </c>
      <c r="G7" s="9">
        <v>24</v>
      </c>
      <c r="H7" s="10">
        <f>HerbicideTable[[#This Row],[Units/App/A]]*HerbicideTable[[#This Row],[Cost/Unit]]</f>
        <v>36</v>
      </c>
      <c r="I7" s="10">
        <f>HerbicideTable[[#This Row],[Apps]]*HerbicideTable[[#This Row],[Cost/App]]</f>
        <v>72</v>
      </c>
      <c r="J7" s="24" t="s">
        <v>109</v>
      </c>
    </row>
    <row r="8" spans="2:12" x14ac:dyDescent="0.25">
      <c r="B8" s="22"/>
      <c r="C8" s="23"/>
      <c r="D8" s="23"/>
      <c r="E8" s="18"/>
      <c r="F8" s="18"/>
      <c r="G8" s="19"/>
      <c r="H8" s="14">
        <f>HerbicideTable[[#This Row],[Units/App/A]]*HerbicideTable[[#This Row],[Cost/Unit]]</f>
        <v>0</v>
      </c>
      <c r="I8" s="14">
        <f>HerbicideTable[[#This Row],[Apps]]*HerbicideTable[[#This Row],[Cost/App]]</f>
        <v>0</v>
      </c>
      <c r="J8" s="25"/>
    </row>
    <row r="9" spans="2:12" x14ac:dyDescent="0.25">
      <c r="B9" s="40" t="s">
        <v>54</v>
      </c>
      <c r="C9" s="49"/>
      <c r="D9" s="34"/>
      <c r="E9" s="31"/>
      <c r="F9" s="13">
        <f>SUBTOTAL(109,HerbicideTable[Apps])</f>
        <v>3</v>
      </c>
      <c r="G9" s="14"/>
      <c r="H9" s="14">
        <f>IF(HerbicideTable[[#Totals],[Apps]]=0,0,HerbicideTable[[#Totals],[Cost/Acre]]/HerbicideTable[[#Totals],[Apps]])</f>
        <v>25.041599999999999</v>
      </c>
      <c r="I9" s="14">
        <f>SUBTOTAL(109,HerbicideTable[Cost/Acre])</f>
        <v>75.124799999999993</v>
      </c>
      <c r="J9" s="15"/>
    </row>
    <row r="10" spans="2:12" x14ac:dyDescent="0.25">
      <c r="B10" s="1"/>
      <c r="C10" s="1"/>
    </row>
    <row r="11" spans="2:12" x14ac:dyDescent="0.25">
      <c r="B11" s="142" t="s">
        <v>110</v>
      </c>
      <c r="C11" s="142"/>
      <c r="D11" s="142"/>
      <c r="E11" s="142"/>
      <c r="F11" s="142"/>
      <c r="G11" s="142"/>
      <c r="H11" s="142"/>
      <c r="I11" s="142"/>
      <c r="J11" s="142"/>
    </row>
    <row r="12" spans="2:12" x14ac:dyDescent="0.25">
      <c r="B12" s="41" t="s">
        <v>98</v>
      </c>
      <c r="C12" s="38" t="s">
        <v>99</v>
      </c>
      <c r="D12" s="38" t="s">
        <v>14</v>
      </c>
      <c r="E12" s="39" t="s">
        <v>100</v>
      </c>
      <c r="F12" s="39" t="s">
        <v>101</v>
      </c>
      <c r="G12" s="39" t="s">
        <v>21</v>
      </c>
      <c r="H12" s="39" t="s">
        <v>102</v>
      </c>
      <c r="I12" s="39" t="s">
        <v>22</v>
      </c>
      <c r="J12" s="42" t="s">
        <v>68</v>
      </c>
    </row>
    <row r="13" spans="2:12" x14ac:dyDescent="0.25">
      <c r="B13" s="20" t="s">
        <v>111</v>
      </c>
      <c r="C13" s="21" t="s">
        <v>112</v>
      </c>
      <c r="D13" s="21" t="s">
        <v>105</v>
      </c>
      <c r="E13" s="8">
        <v>28</v>
      </c>
      <c r="F13" s="8">
        <v>7</v>
      </c>
      <c r="G13" s="9">
        <v>0.32</v>
      </c>
      <c r="H13" s="10">
        <f>FungicideTable[[#This Row],[Units/App/A]]*FungicideTable[[#This Row],[Cost/Unit]]</f>
        <v>8.9600000000000009</v>
      </c>
      <c r="I13" s="10">
        <f>FungicideTable[[#This Row],[Apps]]*FungicideTable[[#This Row],[Cost/App]]</f>
        <v>62.720000000000006</v>
      </c>
      <c r="J13" s="24"/>
      <c r="L13" s="5"/>
    </row>
    <row r="14" spans="2:12" x14ac:dyDescent="0.25">
      <c r="B14" s="20" t="s">
        <v>113</v>
      </c>
      <c r="C14" s="21" t="s">
        <v>114</v>
      </c>
      <c r="D14" s="21" t="s">
        <v>105</v>
      </c>
      <c r="E14" s="8">
        <v>4</v>
      </c>
      <c r="F14" s="8">
        <v>1</v>
      </c>
      <c r="G14" s="9">
        <v>6.25</v>
      </c>
      <c r="H14" s="10">
        <f>FungicideTable[[#This Row],[Units/App/A]]*FungicideTable[[#This Row],[Cost/Unit]]</f>
        <v>25</v>
      </c>
      <c r="I14" s="10">
        <f>FungicideTable[[#This Row],[Apps]]*FungicideTable[[#This Row],[Cost/App]]</f>
        <v>25</v>
      </c>
      <c r="J14" s="24"/>
    </row>
    <row r="15" spans="2:12" x14ac:dyDescent="0.25">
      <c r="B15" s="20" t="s">
        <v>115</v>
      </c>
      <c r="C15" s="21" t="s">
        <v>116</v>
      </c>
      <c r="D15" s="21" t="s">
        <v>105</v>
      </c>
      <c r="E15" s="8">
        <v>12</v>
      </c>
      <c r="F15" s="8">
        <v>2</v>
      </c>
      <c r="G15" s="9">
        <v>2.34</v>
      </c>
      <c r="H15" s="10">
        <f>FungicideTable[[#This Row],[Units/App/A]]*FungicideTable[[#This Row],[Cost/Unit]]</f>
        <v>28.08</v>
      </c>
      <c r="I15" s="10">
        <f>FungicideTable[[#This Row],[Apps]]*FungicideTable[[#This Row],[Cost/App]]</f>
        <v>56.16</v>
      </c>
      <c r="J15" s="24"/>
    </row>
    <row r="16" spans="2:12" x14ac:dyDescent="0.25">
      <c r="B16" s="20" t="s">
        <v>117</v>
      </c>
      <c r="C16" s="21" t="s">
        <v>118</v>
      </c>
      <c r="D16" s="21" t="s">
        <v>105</v>
      </c>
      <c r="E16" s="8">
        <v>5.5</v>
      </c>
      <c r="F16" s="8">
        <v>2</v>
      </c>
      <c r="G16" s="9">
        <v>6.56</v>
      </c>
      <c r="H16" s="10">
        <f>FungicideTable[[#This Row],[Units/App/A]]*FungicideTable[[#This Row],[Cost/Unit]]</f>
        <v>36.08</v>
      </c>
      <c r="I16" s="10">
        <f>FungicideTable[[#This Row],[Apps]]*FungicideTable[[#This Row],[Cost/App]]</f>
        <v>72.16</v>
      </c>
      <c r="J16" s="24"/>
    </row>
    <row r="17" spans="2:10" x14ac:dyDescent="0.25">
      <c r="B17" s="20" t="s">
        <v>119</v>
      </c>
      <c r="C17" s="21" t="s">
        <v>120</v>
      </c>
      <c r="D17" s="21" t="s">
        <v>105</v>
      </c>
      <c r="E17" s="8">
        <v>10.5</v>
      </c>
      <c r="F17" s="8">
        <v>2</v>
      </c>
      <c r="G17" s="9">
        <v>2.99</v>
      </c>
      <c r="H17" s="10">
        <f>FungicideTable[[#This Row],[Units/App/A]]*FungicideTable[[#This Row],[Cost/Unit]]</f>
        <v>31.395000000000003</v>
      </c>
      <c r="I17" s="10">
        <f>FungicideTable[[#This Row],[Apps]]*FungicideTable[[#This Row],[Cost/App]]</f>
        <v>62.790000000000006</v>
      </c>
      <c r="J17" s="24"/>
    </row>
    <row r="18" spans="2:10" x14ac:dyDescent="0.25">
      <c r="B18" s="20" t="s">
        <v>121</v>
      </c>
      <c r="C18" s="21" t="s">
        <v>122</v>
      </c>
      <c r="D18" s="21" t="s">
        <v>105</v>
      </c>
      <c r="E18" s="8">
        <v>32</v>
      </c>
      <c r="F18" s="8">
        <v>2</v>
      </c>
      <c r="G18" s="9">
        <v>0.86</v>
      </c>
      <c r="H18" s="10">
        <f>FungicideTable[[#This Row],[Units/App/A]]*FungicideTable[[#This Row],[Cost/Unit]]</f>
        <v>27.52</v>
      </c>
      <c r="I18" s="10">
        <f>FungicideTable[[#This Row],[Apps]]*FungicideTable[[#This Row],[Cost/App]]</f>
        <v>55.04</v>
      </c>
      <c r="J18" s="24"/>
    </row>
    <row r="19" spans="2:10" x14ac:dyDescent="0.25">
      <c r="B19" s="22" t="s">
        <v>123</v>
      </c>
      <c r="C19" s="23" t="s">
        <v>124</v>
      </c>
      <c r="D19" s="23" t="s">
        <v>105</v>
      </c>
      <c r="E19" s="18">
        <v>24</v>
      </c>
      <c r="F19" s="18">
        <v>1</v>
      </c>
      <c r="G19" s="19">
        <v>1.75</v>
      </c>
      <c r="H19" s="14">
        <f>FungicideTable[[#This Row],[Units/App/A]]*FungicideTable[[#This Row],[Cost/Unit]]</f>
        <v>42</v>
      </c>
      <c r="I19" s="14">
        <f>FungicideTable[[#This Row],[Apps]]*FungicideTable[[#This Row],[Cost/App]]</f>
        <v>42</v>
      </c>
      <c r="J19" s="25"/>
    </row>
    <row r="20" spans="2:10" x14ac:dyDescent="0.25">
      <c r="B20" s="40" t="s">
        <v>54</v>
      </c>
      <c r="C20" s="49"/>
      <c r="D20" s="34"/>
      <c r="E20" s="31"/>
      <c r="F20" s="13">
        <f>SUBTOTAL(109,FungicideTable[Apps])</f>
        <v>17</v>
      </c>
      <c r="G20" s="13"/>
      <c r="H20" s="14">
        <f>IF(FungicideTable[[#Totals],[Apps]]=0,0,FungicideTable[[#Totals],[Cost/Acre]]/FungicideTable[[#Totals],[Apps]])</f>
        <v>22.11</v>
      </c>
      <c r="I20" s="14">
        <f>SUBTOTAL(109,FungicideTable[Cost/Acre])</f>
        <v>375.87</v>
      </c>
      <c r="J20" s="25"/>
    </row>
    <row r="21" spans="2:10" x14ac:dyDescent="0.25">
      <c r="B21" s="1"/>
      <c r="C21" s="1"/>
    </row>
    <row r="22" spans="2:10" x14ac:dyDescent="0.25">
      <c r="B22" s="142" t="s">
        <v>125</v>
      </c>
      <c r="C22" s="142"/>
      <c r="D22" s="142"/>
      <c r="E22" s="142"/>
      <c r="F22" s="142"/>
      <c r="G22" s="142"/>
      <c r="H22" s="142"/>
      <c r="I22" s="142"/>
      <c r="J22" s="142"/>
    </row>
    <row r="23" spans="2:10" x14ac:dyDescent="0.25">
      <c r="B23" s="41" t="s">
        <v>98</v>
      </c>
      <c r="C23" s="38" t="s">
        <v>99</v>
      </c>
      <c r="D23" s="38" t="s">
        <v>14</v>
      </c>
      <c r="E23" s="39" t="s">
        <v>100</v>
      </c>
      <c r="F23" s="39" t="s">
        <v>101</v>
      </c>
      <c r="G23" s="39" t="s">
        <v>21</v>
      </c>
      <c r="H23" s="39" t="s">
        <v>102</v>
      </c>
      <c r="I23" s="39" t="s">
        <v>22</v>
      </c>
      <c r="J23" s="42" t="s">
        <v>68</v>
      </c>
    </row>
    <row r="24" spans="2:10" x14ac:dyDescent="0.25">
      <c r="B24" s="20" t="s">
        <v>126</v>
      </c>
      <c r="C24" s="21" t="s">
        <v>127</v>
      </c>
      <c r="D24" s="21" t="s">
        <v>105</v>
      </c>
      <c r="E24" s="8">
        <v>64</v>
      </c>
      <c r="F24" s="8">
        <v>1</v>
      </c>
      <c r="G24" s="9">
        <v>0.33</v>
      </c>
      <c r="H24" s="10">
        <f>InsecticideTable[[#This Row],[Units/App/A]]*InsecticideTable[[#This Row],[Cost/Unit]]</f>
        <v>21.12</v>
      </c>
      <c r="I24" s="10">
        <f>InsecticideTable[[#This Row],[Apps]]*InsecticideTable[[#This Row],[Cost/App]]</f>
        <v>21.12</v>
      </c>
      <c r="J24" s="24" t="s">
        <v>128</v>
      </c>
    </row>
    <row r="25" spans="2:10" x14ac:dyDescent="0.25">
      <c r="B25" s="20" t="s">
        <v>129</v>
      </c>
      <c r="C25" s="21" t="s">
        <v>130</v>
      </c>
      <c r="D25" s="21" t="s">
        <v>105</v>
      </c>
      <c r="E25" s="8">
        <v>10</v>
      </c>
      <c r="F25" s="8">
        <v>1</v>
      </c>
      <c r="G25" s="9">
        <v>1.56</v>
      </c>
      <c r="H25" s="10">
        <f>InsecticideTable[[#This Row],[Units/App/A]]*InsecticideTable[[#This Row],[Cost/Unit]]</f>
        <v>15.600000000000001</v>
      </c>
      <c r="I25" s="10">
        <f>InsecticideTable[[#This Row],[Apps]]*InsecticideTable[[#This Row],[Cost/App]]</f>
        <v>15.600000000000001</v>
      </c>
      <c r="J25" s="24" t="s">
        <v>131</v>
      </c>
    </row>
    <row r="26" spans="2:10" x14ac:dyDescent="0.25">
      <c r="B26" s="22"/>
      <c r="C26" s="23"/>
      <c r="D26" s="23"/>
      <c r="E26" s="18"/>
      <c r="F26" s="18"/>
      <c r="G26" s="19"/>
      <c r="H26" s="14">
        <f>InsecticideTable[[#This Row],[Units/App/A]]*InsecticideTable[[#This Row],[Cost/Unit]]</f>
        <v>0</v>
      </c>
      <c r="I26" s="14">
        <f>InsecticideTable[[#This Row],[Apps]]*InsecticideTable[[#This Row],[Cost/App]]</f>
        <v>0</v>
      </c>
      <c r="J26" s="25"/>
    </row>
    <row r="27" spans="2:10" x14ac:dyDescent="0.25">
      <c r="B27" s="40" t="s">
        <v>54</v>
      </c>
      <c r="C27" s="49"/>
      <c r="D27" s="34"/>
      <c r="E27" s="11"/>
      <c r="F27" s="11">
        <f>SUBTOTAL(109,InsecticideTable[Apps])</f>
        <v>2</v>
      </c>
      <c r="G27" s="11"/>
      <c r="H27" s="14">
        <f>IF(InsecticideTable[[#Totals],[Apps]]=0,0,InsecticideTable[[#Totals],[Cost/Acre]]/InsecticideTable[[#Totals],[Apps]])</f>
        <v>18.36</v>
      </c>
      <c r="I27" s="14">
        <f>SUBTOTAL(109,InsecticideTable[Cost/Acre])</f>
        <v>36.72</v>
      </c>
      <c r="J27" s="25"/>
    </row>
    <row r="28" spans="2:10" x14ac:dyDescent="0.25">
      <c r="B28" s="1"/>
      <c r="C28" s="1"/>
      <c r="F28" s="5"/>
      <c r="G28" s="5"/>
      <c r="H28" s="5"/>
      <c r="I28" s="5"/>
    </row>
    <row r="29" spans="2:10" x14ac:dyDescent="0.25">
      <c r="B29" s="142" t="s">
        <v>132</v>
      </c>
      <c r="C29" s="142"/>
      <c r="D29" s="142"/>
      <c r="E29" s="142"/>
      <c r="F29" s="142"/>
      <c r="G29" s="142"/>
      <c r="H29" s="142"/>
      <c r="I29" s="142"/>
      <c r="J29" s="142"/>
    </row>
    <row r="30" spans="2:10" x14ac:dyDescent="0.25">
      <c r="B30" s="41" t="s">
        <v>98</v>
      </c>
      <c r="C30" s="38" t="s">
        <v>99</v>
      </c>
      <c r="D30" s="38" t="s">
        <v>14</v>
      </c>
      <c r="E30" s="39" t="s">
        <v>100</v>
      </c>
      <c r="F30" s="39" t="s">
        <v>101</v>
      </c>
      <c r="G30" s="39" t="s">
        <v>21</v>
      </c>
      <c r="H30" s="39" t="s">
        <v>102</v>
      </c>
      <c r="I30" s="39" t="s">
        <v>22</v>
      </c>
      <c r="J30" s="42" t="s">
        <v>68</v>
      </c>
    </row>
    <row r="31" spans="2:10" x14ac:dyDescent="0.25">
      <c r="B31" s="20" t="s">
        <v>133</v>
      </c>
      <c r="C31" s="21" t="s">
        <v>134</v>
      </c>
      <c r="D31" s="21" t="s">
        <v>135</v>
      </c>
      <c r="E31" s="8">
        <v>15</v>
      </c>
      <c r="F31" s="8">
        <v>1</v>
      </c>
      <c r="G31" s="9">
        <v>19.149999999999999</v>
      </c>
      <c r="H31" s="10">
        <f>NematicideTable[[#This Row],[Units/App/A]]*NematicideTable[[#This Row],[Cost/Unit]]</f>
        <v>287.25</v>
      </c>
      <c r="I31" s="10">
        <f>NematicideTable[[#This Row],[Apps]]*NematicideTable[[#This Row],[Cost/App]]</f>
        <v>287.25</v>
      </c>
      <c r="J31" s="24"/>
    </row>
    <row r="32" spans="2:10" x14ac:dyDescent="0.25">
      <c r="B32" s="22"/>
      <c r="C32" s="23"/>
      <c r="D32" s="23"/>
      <c r="E32" s="18"/>
      <c r="F32" s="18"/>
      <c r="G32" s="19"/>
      <c r="H32" s="14">
        <f>NematicideTable[[#This Row],[Units/App/A]]*NematicideTable[[#This Row],[Cost/Unit]]</f>
        <v>0</v>
      </c>
      <c r="I32" s="14">
        <f>NematicideTable[[#This Row],[Apps]]*NematicideTable[[#This Row],[Cost/App]]</f>
        <v>0</v>
      </c>
      <c r="J32" s="25"/>
    </row>
    <row r="33" spans="2:10" x14ac:dyDescent="0.25">
      <c r="B33" s="31" t="s">
        <v>54</v>
      </c>
      <c r="C33" s="13"/>
      <c r="D33" s="13"/>
      <c r="E33" s="13"/>
      <c r="F33" s="13">
        <f>SUBTOTAL(109,NematicideTable[Apps])</f>
        <v>1</v>
      </c>
      <c r="G33" s="13"/>
      <c r="H33" s="14">
        <f>IF(NematicideTable[[#Totals],[Apps]]=0,0,NematicideTable[[#Totals],[Cost/Acre]]/NematicideTable[[#Totals],[Apps]])</f>
        <v>287.25</v>
      </c>
      <c r="I33" s="14">
        <f>SUBTOTAL(109,NematicideTable[Cost/Acre])</f>
        <v>287.25</v>
      </c>
      <c r="J33" s="25"/>
    </row>
    <row r="34" spans="2:10" x14ac:dyDescent="0.25">
      <c r="B34" s="1"/>
      <c r="C34" s="1"/>
      <c r="F34" s="5"/>
      <c r="G34" s="5"/>
      <c r="H34" s="5"/>
      <c r="I34" s="5"/>
    </row>
  </sheetData>
  <sheetProtection algorithmName="SHA-512" hashValue="LbKX2uyYqz8R8OnWkpzZt+GO6BSSZ0HVVLU4rpNMvf6WEdkhiNCWUHB46Ld7wyYJGDvB+YHZmtcjwYW5/dvybg==" saltValue="Lr91hn0cAuX2k5Wc2zc7xA==" spinCount="100000" sheet="1" objects="1" scenarios="1"/>
  <mergeCells count="4">
    <mergeCell ref="B4:J4"/>
    <mergeCell ref="B11:J11"/>
    <mergeCell ref="B22:J22"/>
    <mergeCell ref="B29:J29"/>
  </mergeCells>
  <pageMargins left="0.7" right="0.7" top="0.75" bottom="0.75" header="0.3" footer="0.3"/>
  <pageSetup orientation="portrait"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2F9CC-519E-44A8-9E27-824600120BEF}">
  <dimension ref="B2:M42"/>
  <sheetViews>
    <sheetView showGridLines="0" workbookViewId="0"/>
  </sheetViews>
  <sheetFormatPr defaultColWidth="8.85546875" defaultRowHeight="15" x14ac:dyDescent="0.25"/>
  <cols>
    <col min="1" max="1" width="5.7109375" customWidth="1"/>
    <col min="2" max="2" width="47.140625" customWidth="1"/>
    <col min="3" max="4" width="12.7109375" customWidth="1"/>
    <col min="5" max="5" width="11" customWidth="1"/>
    <col min="6" max="6" width="11.28515625" customWidth="1"/>
    <col min="7" max="8" width="11" customWidth="1"/>
    <col min="9" max="9" width="11.7109375" customWidth="1"/>
    <col min="10" max="11" width="12.42578125" customWidth="1"/>
    <col min="12" max="12" width="10.7109375" customWidth="1"/>
    <col min="13" max="13" width="10.140625" customWidth="1"/>
    <col min="14" max="14" width="28.140625" customWidth="1"/>
  </cols>
  <sheetData>
    <row r="2" spans="2:13" x14ac:dyDescent="0.25">
      <c r="B2" s="2" t="s">
        <v>136</v>
      </c>
      <c r="C2" s="4"/>
    </row>
    <row r="4" spans="2:13" x14ac:dyDescent="0.25">
      <c r="B4" s="150" t="s">
        <v>137</v>
      </c>
      <c r="C4" s="150"/>
      <c r="D4" s="150"/>
    </row>
    <row r="5" spans="2:13" x14ac:dyDescent="0.25">
      <c r="B5" s="38" t="s">
        <v>55</v>
      </c>
      <c r="C5" s="38" t="s">
        <v>14</v>
      </c>
      <c r="D5" s="39" t="s">
        <v>21</v>
      </c>
    </row>
    <row r="6" spans="2:13" x14ac:dyDescent="0.25">
      <c r="B6" s="3" t="s">
        <v>138</v>
      </c>
      <c r="C6" s="3" t="s">
        <v>139</v>
      </c>
      <c r="D6" s="55">
        <v>0.05</v>
      </c>
    </row>
    <row r="7" spans="2:13" x14ac:dyDescent="0.25">
      <c r="B7" s="3" t="s">
        <v>140</v>
      </c>
      <c r="C7" s="3" t="s">
        <v>38</v>
      </c>
      <c r="D7" s="9">
        <v>16.38</v>
      </c>
    </row>
    <row r="8" spans="2:13" x14ac:dyDescent="0.25">
      <c r="B8" s="3" t="s">
        <v>141</v>
      </c>
      <c r="C8" s="3" t="s">
        <v>40</v>
      </c>
      <c r="D8" s="9">
        <v>2.4</v>
      </c>
    </row>
    <row r="10" spans="2:13" x14ac:dyDescent="0.25">
      <c r="B10" s="150" t="s">
        <v>142</v>
      </c>
      <c r="C10" s="150"/>
      <c r="D10" s="150"/>
      <c r="E10" s="150"/>
      <c r="F10" s="150"/>
      <c r="G10" s="150"/>
      <c r="H10" s="150"/>
      <c r="I10" s="150"/>
      <c r="J10" s="150"/>
      <c r="K10" s="150"/>
    </row>
    <row r="11" spans="2:13" x14ac:dyDescent="0.25">
      <c r="B11" s="119"/>
      <c r="C11" s="120"/>
      <c r="D11" s="120"/>
      <c r="E11" s="120"/>
      <c r="F11" s="151" t="s">
        <v>143</v>
      </c>
      <c r="G11" s="152"/>
      <c r="H11" s="153"/>
      <c r="I11" s="120"/>
      <c r="J11" s="120"/>
      <c r="K11" s="121"/>
      <c r="L11" s="122"/>
      <c r="M11" s="122"/>
    </row>
    <row r="12" spans="2:13" ht="30" customHeight="1" x14ac:dyDescent="0.25">
      <c r="B12" s="26" t="s">
        <v>144</v>
      </c>
      <c r="C12" s="50" t="s">
        <v>145</v>
      </c>
      <c r="D12" s="50" t="s">
        <v>146</v>
      </c>
      <c r="E12" s="50" t="s">
        <v>147</v>
      </c>
      <c r="F12" s="50" t="s">
        <v>228</v>
      </c>
      <c r="G12" s="50" t="s">
        <v>152</v>
      </c>
      <c r="H12" s="50" t="s">
        <v>153</v>
      </c>
      <c r="I12" s="57" t="s">
        <v>154</v>
      </c>
      <c r="J12" s="57" t="s">
        <v>155</v>
      </c>
      <c r="K12" s="29" t="s">
        <v>68</v>
      </c>
    </row>
    <row r="13" spans="2:13" x14ac:dyDescent="0.25">
      <c r="B13" s="20" t="s">
        <v>227</v>
      </c>
      <c r="C13" s="51">
        <v>217000</v>
      </c>
      <c r="D13" s="8">
        <v>15</v>
      </c>
      <c r="E13" s="51">
        <v>44931</v>
      </c>
      <c r="F13" s="53">
        <f>0.01*((MachOwnershipTable[[#This Row],[List Price]]+MachOwnershipTable[[#This Row],[Salvage Value]])/2)</f>
        <v>1309.655</v>
      </c>
      <c r="G13" s="53">
        <f>IF(ISBLANK(MachOwnershipTable[[#This Row],[Use Life (Years)]]),0,PMT(MachineInterestRate,MachOwnershipTable[[#This Row],[Use Life (Years)]],-MachOwnershipTable[[#This Row],[List Price]],MachOwnershipTable[[#This Row],[Salvage Value]],0))</f>
        <v>18824.071086635067</v>
      </c>
      <c r="H13" s="53">
        <f t="shared" ref="H13:H22" si="0">SUM(F13:G13)</f>
        <v>20133.726086635066</v>
      </c>
      <c r="I13" s="64">
        <v>560</v>
      </c>
      <c r="J13" s="58">
        <f>IF(ISBLANK(MachOwnershipTable[[#This Row],[Crop Acres per Year]]),MachOwnershipTable[Total Annual Cost],MachOwnershipTable[[#This Row],[Total Annual Cost]]/MachOwnershipTable[[#This Row],[Crop Acres per Year]])</f>
        <v>35.953082297562617</v>
      </c>
      <c r="K13" s="24"/>
    </row>
    <row r="14" spans="2:13" x14ac:dyDescent="0.25">
      <c r="B14" s="20" t="s">
        <v>156</v>
      </c>
      <c r="C14" s="51">
        <v>151000</v>
      </c>
      <c r="D14" s="8">
        <v>15</v>
      </c>
      <c r="E14" s="51">
        <v>31265</v>
      </c>
      <c r="F14" s="53">
        <f>0.01*((MachOwnershipTable[[#This Row],[List Price]]+MachOwnershipTable[[#This Row],[Salvage Value]])/2)</f>
        <v>911.32500000000005</v>
      </c>
      <c r="G14" s="53">
        <f>IF(ISBLANK(MachOwnershipTable[[#This Row],[Use Life (Years)]]),0,PMT(MachineInterestRate,MachOwnershipTable[[#This Row],[Use Life (Years)]],-MachOwnershipTable[[#This Row],[List Price]],MachOwnershipTable[[#This Row],[Salvage Value]],0))</f>
        <v>13098.793806892874</v>
      </c>
      <c r="H14" s="53">
        <f t="shared" si="0"/>
        <v>14010.118806892875</v>
      </c>
      <c r="I14" s="64">
        <v>560</v>
      </c>
      <c r="J14" s="58">
        <f>IF(ISBLANK(MachOwnershipTable[[#This Row],[Crop Acres per Year]]),MachOwnershipTable[Total Annual Cost],MachOwnershipTable[[#This Row],[Total Annual Cost]]/MachOwnershipTable[[#This Row],[Crop Acres per Year]])</f>
        <v>25.01806929802299</v>
      </c>
      <c r="K14" s="24"/>
    </row>
    <row r="15" spans="2:13" x14ac:dyDescent="0.25">
      <c r="B15" s="20" t="s">
        <v>163</v>
      </c>
      <c r="C15" s="51">
        <v>436000</v>
      </c>
      <c r="D15" s="8">
        <v>10</v>
      </c>
      <c r="E15" s="51">
        <v>156445</v>
      </c>
      <c r="F15" s="53">
        <f>0.01*((MachOwnershipTable[[#This Row],[List Price]]+MachOwnershipTable[[#This Row],[Salvage Value]])/2)</f>
        <v>2962.2249999999999</v>
      </c>
      <c r="G15" s="53">
        <f>IF(ISBLANK(MachOwnershipTable[[#This Row],[Use Life (Years)]]),0,PMT(MachineInterestRate,MachOwnershipTable[[#This Row],[Use Life (Years)]],-MachOwnershipTable[[#This Row],[List Price]],MachOwnershipTable[[#This Row],[Salvage Value]],0))</f>
        <v>44025.901454468236</v>
      </c>
      <c r="H15" s="53">
        <f t="shared" si="0"/>
        <v>46988.126454468234</v>
      </c>
      <c r="I15" s="44">
        <v>560</v>
      </c>
      <c r="J15" s="94">
        <f>IF(ISBLANK(MachOwnershipTable[[#This Row],[Crop Acres per Year]]),MachOwnershipTable[Total Annual Cost],MachOwnershipTable[[#This Row],[Total Annual Cost]]/MachOwnershipTable[[#This Row],[Crop Acres per Year]])</f>
        <v>83.90736866869328</v>
      </c>
      <c r="K15" s="24"/>
    </row>
    <row r="16" spans="2:13" x14ac:dyDescent="0.25">
      <c r="B16" s="20" t="s">
        <v>157</v>
      </c>
      <c r="C16" s="51">
        <v>70000</v>
      </c>
      <c r="D16" s="8">
        <v>10</v>
      </c>
      <c r="E16" s="51">
        <v>20651</v>
      </c>
      <c r="F16" s="53">
        <f>0.01*((MachOwnershipTable[[#This Row],[List Price]]+MachOwnershipTable[[#This Row],[Salvage Value]])/2)</f>
        <v>453.255</v>
      </c>
      <c r="G16" s="53">
        <f>IF(ISBLANK(MachOwnershipTable[[#This Row],[Use Life (Years)]]),0,PMT(MachineInterestRate,MachOwnershipTable[[#This Row],[Use Life (Years)]],-MachOwnershipTable[[#This Row],[List Price]],MachOwnershipTable[[#This Row],[Salvage Value]],0))</f>
        <v>7423.4712699703205</v>
      </c>
      <c r="H16" s="53">
        <f t="shared" si="0"/>
        <v>7876.7262699703206</v>
      </c>
      <c r="I16" s="44">
        <v>560</v>
      </c>
      <c r="J16" s="94">
        <f>IF(ISBLANK(MachOwnershipTable[[#This Row],[Crop Acres per Year]]),MachOwnershipTable[Total Annual Cost],MachOwnershipTable[[#This Row],[Total Annual Cost]]/MachOwnershipTable[[#This Row],[Crop Acres per Year]])</f>
        <v>14.065582624947002</v>
      </c>
      <c r="K16" s="24"/>
    </row>
    <row r="17" spans="2:11" x14ac:dyDescent="0.25">
      <c r="B17" s="20" t="s">
        <v>158</v>
      </c>
      <c r="C17" s="51">
        <v>23000</v>
      </c>
      <c r="D17" s="8">
        <v>10</v>
      </c>
      <c r="E17" s="51">
        <v>7650</v>
      </c>
      <c r="F17" s="53">
        <f>0.01*((MachOwnershipTable[[#This Row],[List Price]]+MachOwnershipTable[[#This Row],[Salvage Value]])/2)</f>
        <v>153.25</v>
      </c>
      <c r="G17" s="53">
        <f>IF(ISBLANK(MachOwnershipTable[[#This Row],[Use Life (Years)]]),0,PMT(MachineInterestRate,MachOwnershipTable[[#This Row],[Use Life (Years)]],-MachOwnershipTable[[#This Row],[List Price]],MachOwnershipTable[[#This Row],[Salvage Value]],0))</f>
        <v>2370.3952257197598</v>
      </c>
      <c r="H17" s="53">
        <f t="shared" si="0"/>
        <v>2523.6452257197598</v>
      </c>
      <c r="I17" s="64">
        <v>560</v>
      </c>
      <c r="J17" s="58">
        <f>IF(ISBLANK(MachOwnershipTable[[#This Row],[Crop Acres per Year]]),MachOwnershipTable[Total Annual Cost],MachOwnershipTable[[#This Row],[Total Annual Cost]]/MachOwnershipTable[[#This Row],[Crop Acres per Year]])</f>
        <v>4.5065093316424285</v>
      </c>
      <c r="K17" s="24"/>
    </row>
    <row r="18" spans="2:11" x14ac:dyDescent="0.25">
      <c r="B18" s="20" t="s">
        <v>159</v>
      </c>
      <c r="C18" s="51">
        <v>19000</v>
      </c>
      <c r="D18" s="8">
        <v>10</v>
      </c>
      <c r="E18" s="51">
        <v>7694</v>
      </c>
      <c r="F18" s="53">
        <f>0.01*((MachOwnershipTable[[#This Row],[List Price]]+MachOwnershipTable[[#This Row],[Salvage Value]])/2)</f>
        <v>133.47</v>
      </c>
      <c r="G18" s="53">
        <f>IF(ISBLANK(MachOwnershipTable[[#This Row],[Use Life (Years)]]),0,PMT(MachineInterestRate,MachOwnershipTable[[#This Row],[Use Life (Years)]],-MachOwnershipTable[[#This Row],[List Price]],MachOwnershipTable[[#This Row],[Salvage Value]],0))</f>
        <v>1848.8787245594531</v>
      </c>
      <c r="H18" s="53">
        <f t="shared" si="0"/>
        <v>1982.3487245594531</v>
      </c>
      <c r="I18" s="44">
        <v>560</v>
      </c>
      <c r="J18" s="94">
        <f>IF(ISBLANK(MachOwnershipTable[[#This Row],[Crop Acres per Year]]),MachOwnershipTable[Total Annual Cost],MachOwnershipTable[[#This Row],[Total Annual Cost]]/MachOwnershipTable[[#This Row],[Crop Acres per Year]])</f>
        <v>3.5399084367133091</v>
      </c>
      <c r="K18" s="24"/>
    </row>
    <row r="19" spans="2:11" x14ac:dyDescent="0.25">
      <c r="B19" s="20" t="s">
        <v>160</v>
      </c>
      <c r="C19" s="51">
        <v>48000</v>
      </c>
      <c r="D19" s="8">
        <v>10</v>
      </c>
      <c r="E19" s="51">
        <v>14161</v>
      </c>
      <c r="F19" s="53">
        <f>0.01*((MachOwnershipTable[[#This Row],[List Price]]+MachOwnershipTable[[#This Row],[Salvage Value]])/2)</f>
        <v>310.80500000000001</v>
      </c>
      <c r="G19" s="53">
        <f>IF(ISBLANK(MachOwnershipTable[[#This Row],[Use Life (Years)]]),0,PMT(MachineInterestRate,MachOwnershipTable[[#This Row],[Use Life (Years)]],-MachOwnershipTable[[#This Row],[List Price]],MachOwnershipTable[[#This Row],[Salvage Value]],0))</f>
        <v>5090.3553122560879</v>
      </c>
      <c r="H19" s="53">
        <f t="shared" si="0"/>
        <v>5401.1603122560882</v>
      </c>
      <c r="I19" s="64">
        <v>560</v>
      </c>
      <c r="J19" s="58">
        <f>IF(ISBLANK(MachOwnershipTable[[#This Row],[Crop Acres per Year]]),MachOwnershipTable[Total Annual Cost],MachOwnershipTable[[#This Row],[Total Annual Cost]]/MachOwnershipTable[[#This Row],[Crop Acres per Year]])</f>
        <v>9.6449291290287285</v>
      </c>
      <c r="K19" s="24"/>
    </row>
    <row r="20" spans="2:11" x14ac:dyDescent="0.25">
      <c r="B20" s="20" t="s">
        <v>161</v>
      </c>
      <c r="C20" s="51">
        <v>12000</v>
      </c>
      <c r="D20" s="8">
        <v>10</v>
      </c>
      <c r="E20" s="51">
        <v>3540</v>
      </c>
      <c r="F20" s="53">
        <f>0.01*((MachOwnershipTable[[#This Row],[List Price]]+MachOwnershipTable[[#This Row],[Salvage Value]])/2)</f>
        <v>77.7</v>
      </c>
      <c r="G20" s="53">
        <f>IF(ISBLANK(MachOwnershipTable[[#This Row],[Use Life (Years)]]),0,PMT(MachineInterestRate,MachOwnershipTable[[#This Row],[Use Life (Years)]],-MachOwnershipTable[[#This Row],[List Price]],MachOwnershipTable[[#This Row],[Salvage Value]],0))</f>
        <v>1272.6087042077634</v>
      </c>
      <c r="H20" s="53">
        <f t="shared" si="0"/>
        <v>1350.3087042077634</v>
      </c>
      <c r="I20" s="64">
        <v>560</v>
      </c>
      <c r="J20" s="58">
        <f>IF(ISBLANK(MachOwnershipTable[[#This Row],[Crop Acres per Year]]),MachOwnershipTable[Total Annual Cost],MachOwnershipTable[[#This Row],[Total Annual Cost]]/MachOwnershipTable[[#This Row],[Crop Acres per Year]])</f>
        <v>2.4112655432281489</v>
      </c>
      <c r="K20" s="24"/>
    </row>
    <row r="21" spans="2:11" x14ac:dyDescent="0.25">
      <c r="B21" s="20" t="s">
        <v>162</v>
      </c>
      <c r="C21" s="51">
        <v>66000</v>
      </c>
      <c r="D21" s="8">
        <v>10</v>
      </c>
      <c r="E21" s="51">
        <v>26725</v>
      </c>
      <c r="F21" s="53">
        <f>0.01*((MachOwnershipTable[[#This Row],[List Price]]+MachOwnershipTable[[#This Row],[Salvage Value]])/2)</f>
        <v>463.625</v>
      </c>
      <c r="G21" s="53">
        <f>IF(ISBLANK(MachOwnershipTable[[#This Row],[Use Life (Years)]]),0,PMT(MachineInterestRate,MachOwnershipTable[[#This Row],[Use Life (Years)]],-MachOwnershipTable[[#This Row],[List Price]],MachOwnershipTable[[#This Row],[Salvage Value]],0))</f>
        <v>6422.5421817683109</v>
      </c>
      <c r="H21" s="53">
        <f t="shared" si="0"/>
        <v>6886.1671817683109</v>
      </c>
      <c r="I21" s="64">
        <v>560</v>
      </c>
      <c r="J21" s="58">
        <f>IF(ISBLANK(MachOwnershipTable[[#This Row],[Crop Acres per Year]]),MachOwnershipTable[Total Annual Cost],MachOwnershipTable[[#This Row],[Total Annual Cost]]/MachOwnershipTable[[#This Row],[Crop Acres per Year]])</f>
        <v>12.296727110300555</v>
      </c>
      <c r="K21" s="24"/>
    </row>
    <row r="22" spans="2:11" x14ac:dyDescent="0.25">
      <c r="B22" s="20"/>
      <c r="C22" s="51"/>
      <c r="D22" s="8"/>
      <c r="E22" s="51"/>
      <c r="F22" s="53">
        <f>0.01*((MachOwnershipTable[[#This Row],[List Price]]+MachOwnershipTable[[#This Row],[Salvage Value]])/2)</f>
        <v>0</v>
      </c>
      <c r="G22" s="53">
        <f>IF(ISBLANK(MachOwnershipTable[[#This Row],[Use Life (Years)]]),0,PMT(MachineInterestRate,MachOwnershipTable[[#This Row],[Use Life (Years)]],-MachOwnershipTable[[#This Row],[List Price]],MachOwnershipTable[[#This Row],[Salvage Value]],0))</f>
        <v>0</v>
      </c>
      <c r="H22" s="53">
        <f t="shared" si="0"/>
        <v>0</v>
      </c>
      <c r="I22" s="64"/>
      <c r="J22" s="58">
        <f>IF(ISBLANK(MachOwnershipTable[[#This Row],[Crop Acres per Year]]),MachOwnershipTable[Total Annual Cost],MachOwnershipTable[[#This Row],[Total Annual Cost]]/MachOwnershipTable[[#This Row],[Crop Acres per Year]])</f>
        <v>0</v>
      </c>
      <c r="K22" s="24"/>
    </row>
    <row r="23" spans="2:11" x14ac:dyDescent="0.25">
      <c r="B23" s="31" t="s">
        <v>54</v>
      </c>
      <c r="C23" s="54">
        <f>SUBTOTAL(109,MachOwnershipTable[List Price])</f>
        <v>1042000</v>
      </c>
      <c r="D23" s="13"/>
      <c r="E23" s="13"/>
      <c r="F23" s="54">
        <f>SUBTOTAL(109,MachOwnershipTable[Tax Ins Hsg])</f>
        <v>6775.31</v>
      </c>
      <c r="G23" s="54">
        <f>SUBTOTAL(109,MachOwnershipTable[Capital Recovery])</f>
        <v>100377.01776647789</v>
      </c>
      <c r="H23" s="54">
        <f>SUBTOTAL(109,MachOwnershipTable[Total Annual Cost])</f>
        <v>107152.32776647789</v>
      </c>
      <c r="I23" s="43">
        <f>MachOwnershipTable[[#Totals],[Total Annual Cost]]/MachOwnershipTable[[#Totals],[Cost per Crop Acre]]</f>
        <v>559.99999999999989</v>
      </c>
      <c r="J23" s="54">
        <f>SUBTOTAL(109,MachOwnershipTable[Cost per Crop Acre])</f>
        <v>191.34344244013911</v>
      </c>
      <c r="K23" s="25"/>
    </row>
    <row r="24" spans="2:11" x14ac:dyDescent="0.25">
      <c r="B24" s="1"/>
    </row>
    <row r="25" spans="2:11" ht="30" customHeight="1" x14ac:dyDescent="0.25">
      <c r="B25" s="142" t="s">
        <v>164</v>
      </c>
      <c r="C25" s="142"/>
      <c r="D25" s="142"/>
      <c r="E25" s="142"/>
      <c r="F25" s="142"/>
      <c r="G25" s="142"/>
      <c r="H25" s="142"/>
      <c r="I25" s="142"/>
      <c r="J25" s="142"/>
      <c r="K25" s="142"/>
    </row>
    <row r="26" spans="2:11" ht="30" customHeight="1" x14ac:dyDescent="0.25">
      <c r="B26" s="59" t="s">
        <v>165</v>
      </c>
      <c r="C26" s="60" t="s">
        <v>166</v>
      </c>
      <c r="D26" s="60" t="s">
        <v>167</v>
      </c>
      <c r="E26" s="60" t="s">
        <v>168</v>
      </c>
      <c r="F26" s="60" t="s">
        <v>169</v>
      </c>
      <c r="G26" s="60" t="s">
        <v>170</v>
      </c>
      <c r="H26" s="60" t="s">
        <v>171</v>
      </c>
      <c r="I26" s="60" t="s">
        <v>172</v>
      </c>
      <c r="J26" s="60" t="s">
        <v>173</v>
      </c>
      <c r="K26" s="61" t="s">
        <v>68</v>
      </c>
    </row>
    <row r="27" spans="2:11" ht="15" customHeight="1" x14ac:dyDescent="0.25">
      <c r="B27" s="20" t="s">
        <v>229</v>
      </c>
      <c r="C27" s="8">
        <v>20</v>
      </c>
      <c r="D27" s="8">
        <v>1</v>
      </c>
      <c r="E27" s="123">
        <f>IF(ISBLANK(MachOperationTable[[#This Row],[Times Over]]),0,(1/MachOperationTable[[#This Row],[Acres per Hour]])*MachOperationTable[[#This Row],[Times Over]])</f>
        <v>0.05</v>
      </c>
      <c r="F27" s="56">
        <f>MachOperationTable[[#This Row],[Machine Hours/Acre]]*1.1</f>
        <v>5.5000000000000007E-2</v>
      </c>
      <c r="G27" s="10">
        <f>MachOperationTable[[#This Row],[Labor Hours/Acre]]*MachineLaborWage</f>
        <v>0.90090000000000003</v>
      </c>
      <c r="H27" s="10">
        <v>1.1100000000000001</v>
      </c>
      <c r="I27" s="10">
        <v>1.68</v>
      </c>
      <c r="J27" s="10">
        <f>SUM(G27:I27)</f>
        <v>3.6909000000000001</v>
      </c>
      <c r="K27" s="24"/>
    </row>
    <row r="28" spans="2:11" ht="15" customHeight="1" x14ac:dyDescent="0.25">
      <c r="B28" s="20" t="s">
        <v>230</v>
      </c>
      <c r="C28" s="8">
        <v>6</v>
      </c>
      <c r="D28" s="8">
        <v>1</v>
      </c>
      <c r="E28" s="123">
        <f>IF(ISBLANK(MachOperationTable[[#This Row],[Times Over]]),0,(1/MachOperationTable[[#This Row],[Acres per Hour]])*MachOperationTable[[#This Row],[Times Over]])</f>
        <v>0.16666666666666666</v>
      </c>
      <c r="F28" s="56">
        <f>MachOperationTable[[#This Row],[Machine Hours/Acre]]*1.1</f>
        <v>0.18333333333333335</v>
      </c>
      <c r="G28" s="10">
        <f>MachOperationTable[[#This Row],[Labor Hours/Acre]]*MachineLaborWage</f>
        <v>3.0030000000000001</v>
      </c>
      <c r="H28" s="10">
        <v>3.7</v>
      </c>
      <c r="I28" s="10">
        <v>3.5</v>
      </c>
      <c r="J28" s="10">
        <f t="shared" ref="J28:J34" si="1">SUM(G28:I28)</f>
        <v>10.202999999999999</v>
      </c>
      <c r="K28" s="24"/>
    </row>
    <row r="29" spans="2:11" ht="15" customHeight="1" x14ac:dyDescent="0.25">
      <c r="B29" s="20" t="s">
        <v>231</v>
      </c>
      <c r="C29" s="8">
        <v>8</v>
      </c>
      <c r="D29" s="8">
        <v>1</v>
      </c>
      <c r="E29" s="123">
        <f>IF(ISBLANK(MachOperationTable[[#This Row],[Times Over]]),0,(1/MachOperationTable[[#This Row],[Acres per Hour]])*MachOperationTable[[#This Row],[Times Over]])</f>
        <v>0.125</v>
      </c>
      <c r="F29" s="56">
        <f>MachOperationTable[[#This Row],[Machine Hours/Acre]]*1.1</f>
        <v>0.13750000000000001</v>
      </c>
      <c r="G29" s="10">
        <f>MachOperationTable[[#This Row],[Labor Hours/Acre]]*MachineLaborWage</f>
        <v>2.2522500000000001</v>
      </c>
      <c r="H29" s="10">
        <v>2.0499999999999998</v>
      </c>
      <c r="I29" s="10">
        <v>2.89</v>
      </c>
      <c r="J29" s="10">
        <f t="shared" si="1"/>
        <v>7.1922499999999996</v>
      </c>
      <c r="K29" s="24"/>
    </row>
    <row r="30" spans="2:11" ht="15" customHeight="1" x14ac:dyDescent="0.25">
      <c r="B30" s="20" t="s">
        <v>232</v>
      </c>
      <c r="C30" s="8">
        <v>2.5</v>
      </c>
      <c r="D30" s="8">
        <v>1</v>
      </c>
      <c r="E30" s="123">
        <f>IF(ISBLANK(MachOperationTable[[#This Row],[Times Over]]),0,(1/MachOperationTable[[#This Row],[Acres per Hour]])*MachOperationTable[[#This Row],[Times Over]])</f>
        <v>0.4</v>
      </c>
      <c r="F30" s="56">
        <f>MachOperationTable[[#This Row],[Machine Hours/Acre]]*1.1</f>
        <v>0.44000000000000006</v>
      </c>
      <c r="G30" s="10">
        <f>MachOperationTable[[#This Row],[Labor Hours/Acre]]*MachineLaborWage</f>
        <v>7.2072000000000003</v>
      </c>
      <c r="H30" s="10">
        <v>6.55</v>
      </c>
      <c r="I30" s="10">
        <v>4.58</v>
      </c>
      <c r="J30" s="10">
        <f t="shared" si="1"/>
        <v>18.337200000000003</v>
      </c>
      <c r="K30" s="24"/>
    </row>
    <row r="31" spans="2:11" ht="15" customHeight="1" x14ac:dyDescent="0.25">
      <c r="B31" s="20" t="s">
        <v>233</v>
      </c>
      <c r="C31" s="8">
        <v>2.5</v>
      </c>
      <c r="D31" s="8">
        <v>1</v>
      </c>
      <c r="E31" s="123">
        <f>IF(ISBLANK(MachOperationTable[[#This Row],[Times Over]]),0,(1/MachOperationTable[[#This Row],[Acres per Hour]])*MachOperationTable[[#This Row],[Times Over]])</f>
        <v>0.4</v>
      </c>
      <c r="F31" s="56">
        <f>MachOperationTable[[#This Row],[Machine Hours/Acre]]*1.1</f>
        <v>0.44000000000000006</v>
      </c>
      <c r="G31" s="10">
        <f>MachOperationTable[[#This Row],[Labor Hours/Acre]]*MachineLaborWage</f>
        <v>7.2072000000000003</v>
      </c>
      <c r="H31" s="10">
        <v>6.55</v>
      </c>
      <c r="I31" s="10">
        <v>15.43</v>
      </c>
      <c r="J31" s="10">
        <f t="shared" si="1"/>
        <v>29.187200000000001</v>
      </c>
      <c r="K31" s="24"/>
    </row>
    <row r="32" spans="2:11" ht="15" customHeight="1" x14ac:dyDescent="0.25">
      <c r="B32" s="20" t="s">
        <v>234</v>
      </c>
      <c r="C32" s="8">
        <v>30</v>
      </c>
      <c r="D32" s="8">
        <v>2</v>
      </c>
      <c r="E32" s="123">
        <f>IF(ISBLANK(MachOperationTable[[#This Row],[Times Over]]),0,(1/MachOperationTable[[#This Row],[Acres per Hour]])*MachOperationTable[[#This Row],[Times Over]])</f>
        <v>6.6666666666666666E-2</v>
      </c>
      <c r="F32" s="56">
        <f>MachOperationTable[[#This Row],[Machine Hours/Acre]]*1.1</f>
        <v>7.3333333333333334E-2</v>
      </c>
      <c r="G32" s="10">
        <f>MachOperationTable[[#This Row],[Labor Hours/Acre]]*MachineLaborWage</f>
        <v>1.2011999999999998</v>
      </c>
      <c r="H32" s="10">
        <v>0.94</v>
      </c>
      <c r="I32" s="10">
        <v>0.94</v>
      </c>
      <c r="J32" s="10">
        <f t="shared" si="1"/>
        <v>3.0811999999999995</v>
      </c>
      <c r="K32" s="24"/>
    </row>
    <row r="33" spans="2:11" ht="15" customHeight="1" x14ac:dyDescent="0.25">
      <c r="B33" s="20" t="s">
        <v>235</v>
      </c>
      <c r="C33" s="8">
        <v>30</v>
      </c>
      <c r="D33" s="8">
        <v>16</v>
      </c>
      <c r="E33" s="123">
        <f>IF(ISBLANK(MachOperationTable[[#This Row],[Times Over]]),0,(1/MachOperationTable[[#This Row],[Acres per Hour]])*MachOperationTable[[#This Row],[Times Over]])</f>
        <v>0.53333333333333333</v>
      </c>
      <c r="F33" s="56">
        <f>MachOperationTable[[#This Row],[Machine Hours/Acre]]*1.1</f>
        <v>0.58666666666666667</v>
      </c>
      <c r="G33" s="10">
        <f>MachOperationTable[[#This Row],[Labor Hours/Acre]]*MachineLaborWage</f>
        <v>9.6095999999999986</v>
      </c>
      <c r="H33" s="10">
        <v>14.97</v>
      </c>
      <c r="I33" s="10">
        <v>51.82</v>
      </c>
      <c r="J33" s="10">
        <f t="shared" si="1"/>
        <v>76.399599999999992</v>
      </c>
      <c r="K33" s="24"/>
    </row>
    <row r="34" spans="2:11" ht="15" customHeight="1" x14ac:dyDescent="0.25">
      <c r="B34" s="22"/>
      <c r="C34" s="18"/>
      <c r="D34" s="18"/>
      <c r="E34" s="124">
        <f>IF(ISBLANK(MachOperationTable[[#This Row],[Times Over]]),0,(1/MachOperationTable[[#This Row],[Acres per Hour]])*MachOperationTable[[#This Row],[Times Over]])</f>
        <v>0</v>
      </c>
      <c r="F34" s="62">
        <f>MachOperationTable[[#This Row],[Machine Hours/Acre]]*1.1</f>
        <v>0</v>
      </c>
      <c r="G34" s="14">
        <f>MachOperationTable[[#This Row],[Labor Hours/Acre]]*MachineLaborWage</f>
        <v>0</v>
      </c>
      <c r="H34" s="14"/>
      <c r="I34" s="14"/>
      <c r="J34" s="10">
        <f t="shared" si="1"/>
        <v>0</v>
      </c>
      <c r="K34" s="25"/>
    </row>
    <row r="35" spans="2:11" x14ac:dyDescent="0.25">
      <c r="B35" s="47" t="s">
        <v>54</v>
      </c>
      <c r="C35" s="66"/>
      <c r="D35" s="66"/>
      <c r="E35" s="62">
        <f>SUBTOTAL(109,MachOperationTable[Machine Hours/Acre])</f>
        <v>1.7416666666666667</v>
      </c>
      <c r="F35" s="62">
        <f>SUBTOTAL(109,MachOperationTable[Labor Hours/Acre])</f>
        <v>1.9158333333333333</v>
      </c>
      <c r="G35" s="14">
        <f>SUBTOTAL(109,MachOperationTable[Labor Cost/Acre])</f>
        <v>31.381349999999998</v>
      </c>
      <c r="H35" s="14">
        <f>SUBTOTAL(109,MachOperationTable[Fuel Cost/Acre])</f>
        <v>35.870000000000005</v>
      </c>
      <c r="I35" s="14">
        <f>SUBTOTAL(109,MachOperationTable[Repair Cost/Acre])</f>
        <v>80.84</v>
      </c>
      <c r="J35" s="14">
        <f>SUBTOTAL(109,MachOperationTable[Total Cost/Acre])</f>
        <v>148.09134999999998</v>
      </c>
      <c r="K35" s="12"/>
    </row>
    <row r="36" spans="2:11" x14ac:dyDescent="0.25">
      <c r="B36" s="1"/>
      <c r="E36" s="5"/>
      <c r="F36" s="5"/>
      <c r="G36" s="5"/>
      <c r="H36" s="6"/>
      <c r="I36" s="6"/>
      <c r="J36" s="6"/>
    </row>
    <row r="37" spans="2:11" ht="15" customHeight="1" x14ac:dyDescent="0.25">
      <c r="B37" s="142" t="s">
        <v>174</v>
      </c>
      <c r="C37" s="142"/>
      <c r="D37" s="142"/>
      <c r="E37" s="142"/>
      <c r="F37" s="142"/>
      <c r="G37" s="142"/>
      <c r="H37" s="142"/>
      <c r="I37" s="142"/>
      <c r="J37" s="142"/>
      <c r="K37" s="142"/>
    </row>
    <row r="38" spans="2:11" ht="30" x14ac:dyDescent="0.25">
      <c r="B38" s="26" t="s">
        <v>175</v>
      </c>
      <c r="C38" s="50" t="s">
        <v>176</v>
      </c>
      <c r="D38" s="50" t="s">
        <v>177</v>
      </c>
      <c r="E38" s="73" t="s">
        <v>178</v>
      </c>
      <c r="F38" s="73" t="s">
        <v>179</v>
      </c>
      <c r="G38" s="73" t="s">
        <v>180</v>
      </c>
      <c r="H38" s="74" t="s">
        <v>181</v>
      </c>
      <c r="I38" s="74" t="s">
        <v>182</v>
      </c>
      <c r="J38" s="71" t="s">
        <v>22</v>
      </c>
      <c r="K38" s="67" t="s">
        <v>68</v>
      </c>
    </row>
    <row r="39" spans="2:11" ht="30" customHeight="1" x14ac:dyDescent="0.25">
      <c r="B39" s="20" t="s">
        <v>242</v>
      </c>
      <c r="C39" s="9">
        <v>7.5</v>
      </c>
      <c r="D39" s="69">
        <v>4</v>
      </c>
      <c r="E39" s="24"/>
      <c r="F39" s="77"/>
      <c r="G39" s="77"/>
      <c r="H39" s="78"/>
      <c r="I39" s="72"/>
      <c r="J39" s="75">
        <f>CustomMachineTable[[#This Row],[Cost/App per Acre]]*CustomMachineTable[[#This Row],[Applications (Times Over)]]</f>
        <v>30</v>
      </c>
      <c r="K39" s="24"/>
    </row>
    <row r="40" spans="2:11" x14ac:dyDescent="0.25">
      <c r="B40" s="68"/>
      <c r="C40" s="19"/>
      <c r="D40" s="70"/>
      <c r="E40" s="24"/>
      <c r="F40" s="77"/>
      <c r="G40" s="77"/>
      <c r="H40" s="78"/>
      <c r="I40" s="72"/>
      <c r="J40" s="76">
        <f>CustomMachineTable[[#This Row],[Cost/App per Acre]]*CustomMachineTable[[#This Row],[Applications (Times Over)]]</f>
        <v>0</v>
      </c>
      <c r="K40" s="25"/>
    </row>
    <row r="41" spans="2:11" x14ac:dyDescent="0.25">
      <c r="B41" s="66" t="s">
        <v>54</v>
      </c>
      <c r="C41" s="13"/>
      <c r="D41" s="47"/>
      <c r="E41" s="65"/>
      <c r="F41" s="65"/>
      <c r="G41" s="65"/>
      <c r="H41" s="65"/>
      <c r="I41" s="65"/>
      <c r="J41" s="76">
        <f>SUBTOTAL(109,CustomMachineTable[Cost/Acre])</f>
        <v>30</v>
      </c>
      <c r="K41" s="25"/>
    </row>
    <row r="42" spans="2:11" x14ac:dyDescent="0.25">
      <c r="B42" s="1"/>
    </row>
  </sheetData>
  <sheetProtection algorithmName="SHA-512" hashValue="PxZS703TsRqakbopD+XCR7pp5aID/x+3p022VUc9zhm1POuTTuZNsedR8JasE7ZLLQ9q/wOAnhqpX4kpz5qLBg==" saltValue="+7uSiic1mqoLXOrXbtOEJQ==" spinCount="100000" sheet="1" objects="1" scenarios="1"/>
  <mergeCells count="5">
    <mergeCell ref="B37:K37"/>
    <mergeCell ref="B4:D4"/>
    <mergeCell ref="B10:K10"/>
    <mergeCell ref="B25:K25"/>
    <mergeCell ref="F11:H11"/>
  </mergeCells>
  <pageMargins left="0.7" right="0.7" top="0.75" bottom="0.75" header="0.3" footer="0.3"/>
  <pageSetup orientation="portrait" r:id="rId1"/>
  <ignoredErrors>
    <ignoredError sqref="H27:I33" calculatedColumn="1"/>
  </ignoredErrors>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8BA83-DAD0-44FA-98B4-E49A862D91D4}">
  <dimension ref="B2:N23"/>
  <sheetViews>
    <sheetView showGridLines="0" workbookViewId="0"/>
  </sheetViews>
  <sheetFormatPr defaultColWidth="8.85546875" defaultRowHeight="15" x14ac:dyDescent="0.25"/>
  <cols>
    <col min="1" max="1" width="5.7109375" customWidth="1"/>
    <col min="2" max="2" width="37.85546875" customWidth="1"/>
    <col min="3" max="4" width="9.42578125" customWidth="1"/>
    <col min="5" max="5" width="9.28515625" customWidth="1"/>
    <col min="6" max="7" width="11.42578125" customWidth="1"/>
    <col min="8" max="8" width="10.7109375" customWidth="1"/>
    <col min="9" max="9" width="11.85546875" customWidth="1"/>
    <col min="10" max="10" width="12" customWidth="1"/>
    <col min="11" max="11" width="13" customWidth="1"/>
    <col min="12" max="12" width="11.85546875" customWidth="1"/>
    <col min="13" max="13" width="11.7109375" customWidth="1"/>
    <col min="14" max="14" width="28" customWidth="1"/>
  </cols>
  <sheetData>
    <row r="2" spans="2:14" x14ac:dyDescent="0.25">
      <c r="B2" s="2" t="s">
        <v>183</v>
      </c>
      <c r="C2" s="4"/>
    </row>
    <row r="4" spans="2:14" ht="15.75" thickBot="1" x14ac:dyDescent="0.3">
      <c r="B4" s="136" t="s">
        <v>137</v>
      </c>
      <c r="C4" s="136"/>
      <c r="D4" s="136"/>
    </row>
    <row r="5" spans="2:14" x14ac:dyDescent="0.25">
      <c r="B5" s="38" t="s">
        <v>55</v>
      </c>
      <c r="C5" s="38" t="s">
        <v>14</v>
      </c>
      <c r="D5" s="39" t="s">
        <v>21</v>
      </c>
    </row>
    <row r="6" spans="2:14" x14ac:dyDescent="0.25">
      <c r="B6" s="3" t="s">
        <v>138</v>
      </c>
      <c r="C6" s="3" t="s">
        <v>139</v>
      </c>
      <c r="D6" s="55">
        <v>0.05</v>
      </c>
    </row>
    <row r="7" spans="2:14" x14ac:dyDescent="0.25">
      <c r="B7" s="3" t="s">
        <v>184</v>
      </c>
      <c r="C7" s="3" t="s">
        <v>38</v>
      </c>
      <c r="D7" s="9">
        <v>16.38</v>
      </c>
    </row>
    <row r="8" spans="2:14" x14ac:dyDescent="0.25">
      <c r="B8" s="3" t="s">
        <v>45</v>
      </c>
      <c r="C8" s="3" t="s">
        <v>46</v>
      </c>
      <c r="D8" s="9">
        <v>0.12</v>
      </c>
    </row>
    <row r="10" spans="2:14" x14ac:dyDescent="0.25">
      <c r="B10" s="154" t="s">
        <v>185</v>
      </c>
      <c r="C10" s="154"/>
      <c r="D10" s="154"/>
      <c r="E10" s="154"/>
      <c r="F10" s="154"/>
      <c r="G10" s="154"/>
      <c r="H10" s="154"/>
      <c r="I10" s="154"/>
      <c r="J10" s="154"/>
      <c r="K10" s="154"/>
      <c r="L10" s="154"/>
      <c r="M10" s="154"/>
      <c r="N10" s="154"/>
    </row>
    <row r="11" spans="2:14" x14ac:dyDescent="0.25">
      <c r="B11" s="87"/>
      <c r="C11" s="88"/>
      <c r="D11" s="88"/>
      <c r="E11" s="88"/>
      <c r="F11" s="88"/>
      <c r="G11" s="155" t="s">
        <v>143</v>
      </c>
      <c r="H11" s="156"/>
      <c r="I11" s="156"/>
      <c r="J11" s="156"/>
      <c r="K11" s="156"/>
      <c r="L11" s="156"/>
      <c r="M11" s="157"/>
      <c r="N11" s="89"/>
    </row>
    <row r="12" spans="2:14" ht="30" customHeight="1" x14ac:dyDescent="0.25">
      <c r="B12" s="59" t="s">
        <v>186</v>
      </c>
      <c r="C12" s="60" t="s">
        <v>145</v>
      </c>
      <c r="D12" s="60" t="s">
        <v>146</v>
      </c>
      <c r="E12" s="60" t="s">
        <v>147</v>
      </c>
      <c r="F12" s="60" t="s">
        <v>148</v>
      </c>
      <c r="G12" s="60" t="s">
        <v>149</v>
      </c>
      <c r="H12" s="60" t="s">
        <v>150</v>
      </c>
      <c r="I12" s="60" t="s">
        <v>151</v>
      </c>
      <c r="J12" s="60" t="s">
        <v>152</v>
      </c>
      <c r="K12" s="60" t="s">
        <v>153</v>
      </c>
      <c r="L12" s="60" t="s">
        <v>154</v>
      </c>
      <c r="M12" s="60" t="s">
        <v>155</v>
      </c>
      <c r="N12" s="80" t="s">
        <v>68</v>
      </c>
    </row>
    <row r="13" spans="2:14" x14ac:dyDescent="0.25">
      <c r="B13" s="20" t="s">
        <v>187</v>
      </c>
      <c r="C13" s="51">
        <v>130000</v>
      </c>
      <c r="D13" s="8">
        <v>20</v>
      </c>
      <c r="E13" s="51">
        <v>5000</v>
      </c>
      <c r="F13" s="82">
        <v>130000</v>
      </c>
      <c r="G13" s="82"/>
      <c r="H13" s="84">
        <f>0.0025*IrrigOwnershipTable[[#This Row],[List Price]]</f>
        <v>325</v>
      </c>
      <c r="I13" s="84">
        <f>0.01*IrrigOwnershipTable[[#This Row],[List Price]]</f>
        <v>1300</v>
      </c>
      <c r="J13" s="85">
        <f>IF(ISBLANK(IrrigOwnershipTable[[#This Row],[Use Life (Years)]]),0,PMT(IrrigInterestRate,IrrigOwnershipTable[[#This Row],[Use Life (Years)]],-IrrigOwnershipTable[[#This Row],[Down Payment]],IrrigOwnershipTable[[#This Row],[Salvage Value]],0))</f>
        <v>10280.323398836415</v>
      </c>
      <c r="K13" s="53">
        <f t="shared" ref="K13:K15" si="0">SUM(G13:J13)</f>
        <v>11905.323398836415</v>
      </c>
      <c r="L13" s="8">
        <v>280</v>
      </c>
      <c r="M13" s="53">
        <f>IF(ISBLANK(IrrigOwnershipTable[[#This Row],[Crop Acres per Year]]),IrrigOwnershipTable[Total Annual Cost],IrrigOwnershipTable[[#This Row],[Total Annual Cost]]/IrrigOwnershipTable[[#This Row],[Crop Acres per Year]])</f>
        <v>42.519012138701484</v>
      </c>
      <c r="N13" s="24"/>
    </row>
    <row r="14" spans="2:14" x14ac:dyDescent="0.25">
      <c r="B14" s="20" t="s">
        <v>188</v>
      </c>
      <c r="C14" s="81"/>
      <c r="D14" s="83"/>
      <c r="E14" s="81"/>
      <c r="F14" s="81"/>
      <c r="G14" s="81">
        <v>1200</v>
      </c>
      <c r="H14" s="86">
        <f>0.0025*IrrigOwnershipTable[[#This Row],[List Price]]</f>
        <v>0</v>
      </c>
      <c r="I14" s="86">
        <f>0.01*IrrigOwnershipTable[[#This Row],[List Price]]</f>
        <v>0</v>
      </c>
      <c r="J14" s="86">
        <f>IF(ISBLANK(IrrigOwnershipTable[[#This Row],[Use Life (Years)]]),0,PMT(IrrigInterestRate,IrrigOwnershipTable[[#This Row],[Use Life (Years)]],-IrrigOwnershipTable[[#This Row],[Down Payment]],IrrigOwnershipTable[[#This Row],[Salvage Value]],0))</f>
        <v>0</v>
      </c>
      <c r="K14" s="84">
        <f t="shared" si="0"/>
        <v>1200</v>
      </c>
      <c r="L14" s="8">
        <v>280</v>
      </c>
      <c r="M14" s="53">
        <f>IF(ISBLANK(IrrigOwnershipTable[[#This Row],[Crop Acres per Year]]),IrrigOwnershipTable[Total Annual Cost],IrrigOwnershipTable[[#This Row],[Total Annual Cost]]/IrrigOwnershipTable[[#This Row],[Crop Acres per Year]])</f>
        <v>4.2857142857142856</v>
      </c>
      <c r="N14" s="24"/>
    </row>
    <row r="15" spans="2:14" x14ac:dyDescent="0.25">
      <c r="B15" s="22"/>
      <c r="C15" s="52"/>
      <c r="D15" s="18"/>
      <c r="E15" s="52"/>
      <c r="F15" s="52"/>
      <c r="G15" s="52"/>
      <c r="H15" s="54">
        <f>0.0025*IrrigOwnershipTable[[#This Row],[List Price]]</f>
        <v>0</v>
      </c>
      <c r="I15" s="54">
        <f>0.01*IrrigOwnershipTable[[#This Row],[List Price]]</f>
        <v>0</v>
      </c>
      <c r="J15" s="54">
        <f>IF(ISBLANK(IrrigOwnershipTable[[#This Row],[Use Life (Years)]]),0,PMT(IrrigInterestRate,IrrigOwnershipTable[[#This Row],[Use Life (Years)]],-IrrigOwnershipTable[[#This Row],[Down Payment]],IrrigOwnershipTable[[#This Row],[Salvage Value]],0))</f>
        <v>0</v>
      </c>
      <c r="K15" s="54">
        <f t="shared" si="0"/>
        <v>0</v>
      </c>
      <c r="L15" s="18"/>
      <c r="M15" s="54">
        <f>IF(ISBLANK(IrrigOwnershipTable[[#This Row],[Crop Acres per Year]]),IrrigOwnershipTable[Total Annual Cost],IrrigOwnershipTable[[#This Row],[Total Annual Cost]]/IrrigOwnershipTable[[#This Row],[Crop Acres per Year]])</f>
        <v>0</v>
      </c>
      <c r="N15" s="25"/>
    </row>
    <row r="16" spans="2:14" x14ac:dyDescent="0.25">
      <c r="B16" s="40" t="s">
        <v>54</v>
      </c>
      <c r="C16" s="94"/>
      <c r="D16" s="94"/>
      <c r="E16" s="94"/>
      <c r="F16" s="94"/>
      <c r="G16" s="93"/>
      <c r="H16" s="93">
        <f>SUBTOTAL(109,IrrigOwnershipTable[Insurance])</f>
        <v>325</v>
      </c>
      <c r="I16" s="53">
        <f>SUBTOTAL(109,IrrigOwnershipTable[Taxes &amp; Fees])</f>
        <v>1300</v>
      </c>
      <c r="J16" s="53">
        <f>SUBTOTAL(109,IrrigOwnershipTable[Capital Recovery])</f>
        <v>10280.323398836415</v>
      </c>
      <c r="K16" s="53">
        <f>SUBTOTAL(109,IrrigOwnershipTable[Total Annual Cost])</f>
        <v>13105.323398836415</v>
      </c>
      <c r="L16" s="11">
        <f>IrrigOwnershipTable[[#Totals],[Total Annual Cost]]/IrrigOwnershipTable[[#Totals],[Cost per Crop Acre]]</f>
        <v>280</v>
      </c>
      <c r="M16" s="53">
        <f>SUBTOTAL(109,IrrigOwnershipTable[Cost per Crop Acre])</f>
        <v>46.804726424415769</v>
      </c>
      <c r="N16" s="21"/>
    </row>
    <row r="17" spans="2:14" x14ac:dyDescent="0.25">
      <c r="B17" s="1"/>
    </row>
    <row r="18" spans="2:14" x14ac:dyDescent="0.25">
      <c r="B18" s="150" t="s">
        <v>189</v>
      </c>
      <c r="C18" s="150"/>
      <c r="D18" s="150"/>
      <c r="E18" s="150"/>
      <c r="F18" s="150"/>
      <c r="G18" s="150"/>
      <c r="H18" s="150"/>
      <c r="I18" s="150"/>
      <c r="J18" s="150"/>
      <c r="K18" s="150"/>
      <c r="L18" s="150"/>
      <c r="M18" s="150"/>
      <c r="N18" s="150"/>
    </row>
    <row r="19" spans="2:14" ht="30" customHeight="1" x14ac:dyDescent="0.25">
      <c r="B19" s="90" t="s">
        <v>175</v>
      </c>
      <c r="C19" s="50" t="s">
        <v>190</v>
      </c>
      <c r="D19" s="50" t="s">
        <v>191</v>
      </c>
      <c r="E19" s="50" t="s">
        <v>192</v>
      </c>
      <c r="F19" s="50" t="s">
        <v>193</v>
      </c>
      <c r="G19" s="50" t="s">
        <v>194</v>
      </c>
      <c r="H19" s="50" t="s">
        <v>195</v>
      </c>
      <c r="I19" s="50" t="s">
        <v>196</v>
      </c>
      <c r="J19" s="50" t="s">
        <v>197</v>
      </c>
      <c r="K19" s="50" t="s">
        <v>198</v>
      </c>
      <c r="L19" s="50" t="s">
        <v>199</v>
      </c>
      <c r="M19" s="50" t="s">
        <v>173</v>
      </c>
      <c r="N19" s="91" t="s">
        <v>68</v>
      </c>
    </row>
    <row r="20" spans="2:14" x14ac:dyDescent="0.25">
      <c r="B20" s="20" t="s">
        <v>200</v>
      </c>
      <c r="C20" s="8">
        <v>80</v>
      </c>
      <c r="D20" s="8">
        <v>140</v>
      </c>
      <c r="E20" s="8">
        <v>20</v>
      </c>
      <c r="F20" s="8">
        <v>0.3</v>
      </c>
      <c r="G20" s="8">
        <v>18</v>
      </c>
      <c r="H20" s="8">
        <v>1</v>
      </c>
      <c r="I20" s="10">
        <f>IrrigOperationTable[[#This Row],[Apps per Crop]]*IrrigOperationTable[[#This Row],[Labor Hours/App]]*IrrigLaborWage</f>
        <v>327.59999999999997</v>
      </c>
      <c r="J20" s="10">
        <f>0.83*IrrigOperationTable[[#This Row],[Pumping HP]]*IrrigOperationTable[[#This Row],[Pivot Hours/App]]*IrrigOperationTable[[#This Row],[Apps per Crop]]*ElectricityPrice</f>
        <v>2868.4799999999996</v>
      </c>
      <c r="K20" s="10">
        <f>2.89*IrrigOperationTable[[#This Row],[Apps per Crop]]*IrrigOperationTable[[#This Row],[Acre Inches per App]]*IrrigOperationTable[[#This Row],[Irrigated Acres]]</f>
        <v>2427.6</v>
      </c>
      <c r="L20" s="10">
        <f t="shared" ref="L20" si="1">SUM(I20:K20)</f>
        <v>5623.6799999999994</v>
      </c>
      <c r="M20" s="10">
        <f>IrrigOperationTable[[#This Row],[Total Cost]]/IrrigOperationTable[[#This Row],[Irrigated Acres]]</f>
        <v>40.169142857142852</v>
      </c>
      <c r="N20" s="24"/>
    </row>
    <row r="21" spans="2:14" x14ac:dyDescent="0.25">
      <c r="B21" s="102" t="s">
        <v>201</v>
      </c>
      <c r="C21" s="18">
        <v>80</v>
      </c>
      <c r="D21" s="18">
        <v>140</v>
      </c>
      <c r="E21" s="18">
        <v>10</v>
      </c>
      <c r="F21" s="18">
        <v>0.1</v>
      </c>
      <c r="G21" s="18">
        <v>6</v>
      </c>
      <c r="H21" s="18">
        <v>3</v>
      </c>
      <c r="I21" s="10">
        <f>IrrigOperationTable[[#This Row],[Apps per Crop]]*IrrigOperationTable[[#This Row],[Labor Hours/App]]*IrrigLaborWage</f>
        <v>491.4</v>
      </c>
      <c r="J21" s="10">
        <f>0.83*IrrigOperationTable[[#This Row],[Pumping HP]]*IrrigOperationTable[[#This Row],[Pivot Hours/App]]*IrrigOperationTable[[#This Row],[Apps per Crop]]*ElectricityPrice</f>
        <v>478.08</v>
      </c>
      <c r="K21" s="10">
        <f>2.89*IrrigOperationTable[[#This Row],[Apps per Crop]]*IrrigOperationTable[[#This Row],[Acre Inches per App]]*IrrigOperationTable[[#This Row],[Irrigated Acres]]</f>
        <v>404.60000000000008</v>
      </c>
      <c r="L21" s="10">
        <f>SUM(I21:K21)</f>
        <v>1374.0800000000002</v>
      </c>
      <c r="M21" s="10">
        <f>IrrigOperationTable[[#This Row],[Total Cost]]/IrrigOperationTable[[#This Row],[Irrigated Acres]]</f>
        <v>9.8148571428571447</v>
      </c>
      <c r="N21" s="24"/>
    </row>
    <row r="22" spans="2:14" x14ac:dyDescent="0.25">
      <c r="B22" s="40" t="s">
        <v>54</v>
      </c>
      <c r="C22" s="49"/>
      <c r="D22" s="49">
        <f>SUBTOTAL(101,IrrigOperationTable[Irrigated Acres])</f>
        <v>140</v>
      </c>
      <c r="E22" s="49"/>
      <c r="F22" s="49"/>
      <c r="G22" s="49"/>
      <c r="H22" s="34"/>
      <c r="I22" s="76">
        <f>SUBTOTAL(109,IrrigOperationTable[Labor Cost])</f>
        <v>819</v>
      </c>
      <c r="J22" s="14">
        <f>SUBTOTAL(109,IrrigOperationTable[Electricity Cost])</f>
        <v>3346.5599999999995</v>
      </c>
      <c r="K22" s="14">
        <f>SUBTOTAL(109,IrrigOperationTable[Repair Cost])</f>
        <v>2832.2</v>
      </c>
      <c r="L22" s="14">
        <f>SUBTOTAL(109,IrrigOperationTable[Total Cost])</f>
        <v>6997.7599999999993</v>
      </c>
      <c r="M22" s="14">
        <f>SUBTOTAL(109,IrrigOperationTable[Total Cost/Acre])</f>
        <v>49.983999999999995</v>
      </c>
      <c r="N22" s="25"/>
    </row>
    <row r="23" spans="2:14" x14ac:dyDescent="0.25">
      <c r="B23" s="1"/>
      <c r="E23" s="5"/>
      <c r="F23" s="5"/>
      <c r="G23" s="5"/>
      <c r="H23" s="6"/>
      <c r="I23" s="6"/>
      <c r="J23" s="6"/>
    </row>
  </sheetData>
  <sheetProtection algorithmName="SHA-512" hashValue="3MAbU96m5sCdXldXpExEu0FrpDhUqh7GKUnQxRXwr3G0IZJYpBuacqAMZO2+0QiSVHjdRMEa7tzw7u1f3FWIRg==" saltValue="IVBBqSqjDRPWM1F2L1vQcw==" spinCount="100000" sheet="1" objects="1" scenarios="1"/>
  <mergeCells count="4">
    <mergeCell ref="B4:D4"/>
    <mergeCell ref="B10:N10"/>
    <mergeCell ref="G11:M11"/>
    <mergeCell ref="B18:N18"/>
  </mergeCells>
  <pageMargins left="0.7" right="0.7" top="0.75" bottom="0.75" header="0.3" footer="0.3"/>
  <pageSetup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C9642-1075-4C37-8DC7-BCD22324F6DE}">
  <dimension ref="B2:L23"/>
  <sheetViews>
    <sheetView showGridLines="0" workbookViewId="0"/>
  </sheetViews>
  <sheetFormatPr defaultColWidth="8.85546875" defaultRowHeight="15" x14ac:dyDescent="0.25"/>
  <cols>
    <col min="1" max="1" width="5.7109375" customWidth="1"/>
    <col min="2" max="2" width="32.42578125" customWidth="1"/>
    <col min="3" max="3" width="29" customWidth="1"/>
    <col min="4" max="4" width="7.42578125" bestFit="1" customWidth="1"/>
    <col min="5" max="5" width="11.7109375" customWidth="1"/>
    <col min="6" max="7" width="12" customWidth="1"/>
    <col min="8" max="8" width="12.7109375" customWidth="1"/>
    <col min="9" max="9" width="11.85546875" customWidth="1"/>
    <col min="10" max="10" width="33.7109375" customWidth="1"/>
    <col min="12" max="12" width="9.42578125" customWidth="1"/>
  </cols>
  <sheetData>
    <row r="2" spans="2:12" x14ac:dyDescent="0.25">
      <c r="B2" s="2" t="s">
        <v>202</v>
      </c>
      <c r="C2" s="4"/>
      <c r="D2" s="4"/>
      <c r="E2" s="4"/>
    </row>
    <row r="3" spans="2:12" x14ac:dyDescent="0.25">
      <c r="B3" s="4"/>
      <c r="C3" s="4"/>
      <c r="D3" s="4"/>
      <c r="E3" s="4"/>
    </row>
    <row r="4" spans="2:12" x14ac:dyDescent="0.25">
      <c r="B4" s="142" t="s">
        <v>203</v>
      </c>
      <c r="C4" s="142"/>
      <c r="D4" s="142"/>
      <c r="E4" s="142"/>
      <c r="F4" s="142"/>
      <c r="G4" s="142"/>
      <c r="H4" s="142"/>
      <c r="I4" s="142"/>
      <c r="J4" s="142"/>
    </row>
    <row r="5" spans="2:12" x14ac:dyDescent="0.25">
      <c r="B5" s="26" t="s">
        <v>50</v>
      </c>
      <c r="C5" s="27" t="s">
        <v>204</v>
      </c>
      <c r="D5" s="27" t="s">
        <v>14</v>
      </c>
      <c r="E5" s="27" t="s">
        <v>21</v>
      </c>
      <c r="F5" s="28" t="s">
        <v>205</v>
      </c>
      <c r="G5" s="28" t="s">
        <v>206</v>
      </c>
      <c r="H5" s="28" t="s">
        <v>15</v>
      </c>
      <c r="I5" s="28" t="s">
        <v>22</v>
      </c>
      <c r="J5" s="29" t="s">
        <v>68</v>
      </c>
      <c r="L5" s="63"/>
    </row>
    <row r="6" spans="2:12" x14ac:dyDescent="0.25">
      <c r="B6" s="20" t="s">
        <v>207</v>
      </c>
      <c r="C6" s="21"/>
      <c r="D6" s="21" t="s">
        <v>208</v>
      </c>
      <c r="E6" s="9">
        <v>30</v>
      </c>
      <c r="F6" s="8">
        <v>35</v>
      </c>
      <c r="G6" s="8">
        <v>140</v>
      </c>
      <c r="H6" s="92">
        <f>IF(ISBLANK(OtherLaborActivitiesTable[[#This Row],[Field Acres]]),OtherLaborActivitiesTable[Units/Field],OtherLaborActivitiesTable[[#This Row],[Units/Field]]/OtherLaborActivitiesTable[[#This Row],[Field Acres]])</f>
        <v>0.25</v>
      </c>
      <c r="I6" s="10">
        <f>OtherLaborActivitiesTable[[#This Row],[Cost/Unit]]*OtherLaborActivitiesTable[[#This Row],[Units/Acre]]</f>
        <v>7.5</v>
      </c>
      <c r="J6" s="24"/>
    </row>
    <row r="7" spans="2:12" x14ac:dyDescent="0.25">
      <c r="B7" s="20" t="s">
        <v>209</v>
      </c>
      <c r="C7" s="21"/>
      <c r="D7" s="21" t="s">
        <v>38</v>
      </c>
      <c r="E7" s="9">
        <v>16.38</v>
      </c>
      <c r="F7" s="8">
        <v>0</v>
      </c>
      <c r="G7" s="8">
        <v>140</v>
      </c>
      <c r="H7" s="11">
        <f>IF(ISBLANK(OtherLaborActivitiesTable[[#This Row],[Field Acres]]),OtherLaborActivitiesTable[Units/Field],OtherLaborActivitiesTable[[#This Row],[Units/Field]]/OtherLaborActivitiesTable[[#This Row],[Field Acres]])</f>
        <v>0</v>
      </c>
      <c r="I7" s="10">
        <f>OtherLaborActivitiesTable[[#This Row],[Cost/Unit]]*OtherLaborActivitiesTable[[#This Row],[Units/Acre]]</f>
        <v>0</v>
      </c>
      <c r="J7" s="24"/>
    </row>
    <row r="8" spans="2:12" x14ac:dyDescent="0.25">
      <c r="B8" s="20"/>
      <c r="C8" s="21"/>
      <c r="D8" s="21"/>
      <c r="E8" s="9"/>
      <c r="F8" s="8"/>
      <c r="G8" s="8"/>
      <c r="H8" s="11"/>
      <c r="I8" s="10"/>
      <c r="J8" s="24"/>
    </row>
    <row r="9" spans="2:12" x14ac:dyDescent="0.25">
      <c r="B9" s="40" t="s">
        <v>54</v>
      </c>
      <c r="C9" s="49"/>
      <c r="D9" s="49"/>
      <c r="E9" s="49"/>
      <c r="F9" s="49"/>
      <c r="G9" s="34"/>
      <c r="H9" s="95"/>
      <c r="I9" s="14">
        <f>SUBTOTAL(109,OtherLaborActivitiesTable[Cost/Acre])</f>
        <v>7.5</v>
      </c>
      <c r="J9" s="25"/>
    </row>
    <row r="10" spans="2:12" x14ac:dyDescent="0.25">
      <c r="B10" s="41" t="s">
        <v>210</v>
      </c>
      <c r="C10" s="38" t="s">
        <v>204</v>
      </c>
      <c r="D10" s="38" t="s">
        <v>14</v>
      </c>
      <c r="E10" s="38" t="s">
        <v>21</v>
      </c>
      <c r="F10" s="39" t="s">
        <v>205</v>
      </c>
      <c r="G10" s="39" t="s">
        <v>206</v>
      </c>
      <c r="H10" s="39" t="s">
        <v>15</v>
      </c>
      <c r="I10" s="39" t="s">
        <v>22</v>
      </c>
      <c r="J10" s="42" t="s">
        <v>68</v>
      </c>
    </row>
    <row r="11" spans="2:12" x14ac:dyDescent="0.25">
      <c r="B11" s="20" t="s">
        <v>211</v>
      </c>
      <c r="C11" s="21" t="s">
        <v>212</v>
      </c>
      <c r="D11" s="21" t="s">
        <v>43</v>
      </c>
      <c r="E11" s="9">
        <v>10</v>
      </c>
      <c r="F11" s="8">
        <v>140</v>
      </c>
      <c r="G11" s="8">
        <v>140</v>
      </c>
      <c r="H11" s="11">
        <f>IF(ISBLANK(OtherOpCostTable[[#This Row],[Field Acres]]),OtherOpCostTable[Units/Field],OtherOpCostTable[[#This Row],[Units/Field]]/OtherOpCostTable[[#This Row],[Field Acres]])</f>
        <v>1</v>
      </c>
      <c r="I11" s="10">
        <f>OtherOpCostTable[[#This Row],[Cost/Unit]]*OtherOpCostTable[[#This Row],[Units/Acre]]</f>
        <v>10</v>
      </c>
      <c r="J11" s="24"/>
    </row>
    <row r="12" spans="2:12" x14ac:dyDescent="0.25">
      <c r="B12" s="20" t="s">
        <v>213</v>
      </c>
      <c r="C12" s="21"/>
      <c r="D12" s="21"/>
      <c r="E12" s="8"/>
      <c r="F12" s="8"/>
      <c r="G12" s="8"/>
      <c r="H12" s="11">
        <f>IF(ISBLANK(OtherOpCostTable[[#This Row],[Field Acres]]),OtherOpCostTable[Units/Field],OtherOpCostTable[[#This Row],[Units/Field]]/OtherOpCostTable[[#This Row],[Field Acres]])</f>
        <v>0</v>
      </c>
      <c r="I12" s="10">
        <f>OtherOpCostTable[[#This Row],[Cost/Unit]]*OtherOpCostTable[[#This Row],[Units/Acre]]</f>
        <v>0</v>
      </c>
      <c r="J12" s="24"/>
    </row>
    <row r="13" spans="2:12" x14ac:dyDescent="0.25">
      <c r="B13" s="22"/>
      <c r="C13" s="23"/>
      <c r="D13" s="23"/>
      <c r="E13" s="18"/>
      <c r="F13" s="18"/>
      <c r="G13" s="18"/>
      <c r="H13" s="13">
        <f>IF(ISBLANK(OtherOpCostTable[[#This Row],[Field Acres]]),OtherOpCostTable[Units/Field],OtherOpCostTable[[#This Row],[Units/Field]]/OtherOpCostTable[[#This Row],[Field Acres]])</f>
        <v>0</v>
      </c>
      <c r="I13" s="14">
        <f>OtherOpCostTable[[#This Row],[Cost/Unit]]*OtherOpCostTable[[#This Row],[Units/Acre]]</f>
        <v>0</v>
      </c>
      <c r="J13" s="25"/>
    </row>
    <row r="14" spans="2:12" x14ac:dyDescent="0.25">
      <c r="B14" s="40" t="s">
        <v>54</v>
      </c>
      <c r="C14" s="49"/>
      <c r="D14" s="49"/>
      <c r="E14" s="49"/>
      <c r="F14" s="49"/>
      <c r="G14" s="34"/>
      <c r="H14" s="31"/>
      <c r="I14" s="14">
        <f>SUBTOTAL(109,OtherOpCostTable[Cost/Acre])</f>
        <v>10</v>
      </c>
      <c r="J14" s="25"/>
    </row>
    <row r="15" spans="2:12" ht="30" x14ac:dyDescent="0.25">
      <c r="B15" s="79" t="s">
        <v>214</v>
      </c>
      <c r="C15" s="79"/>
      <c r="D15" s="79" t="s">
        <v>14</v>
      </c>
      <c r="E15" s="96" t="s">
        <v>215</v>
      </c>
      <c r="F15" s="96" t="s">
        <v>216</v>
      </c>
      <c r="G15" s="96" t="s">
        <v>217</v>
      </c>
      <c r="H15" s="96" t="s">
        <v>218</v>
      </c>
      <c r="I15" s="97" t="s">
        <v>219</v>
      </c>
      <c r="J15" s="98" t="s">
        <v>68</v>
      </c>
    </row>
    <row r="16" spans="2:12" x14ac:dyDescent="0.25">
      <c r="B16" s="21" t="s">
        <v>220</v>
      </c>
      <c r="C16" s="21"/>
      <c r="D16" s="21" t="s">
        <v>221</v>
      </c>
      <c r="E16" s="55">
        <v>5.0000000000000001E-3</v>
      </c>
      <c r="F16" s="8">
        <v>6</v>
      </c>
      <c r="G16" s="106">
        <f>((1+E16)^F16)-1</f>
        <v>3.0377509393764601E-2</v>
      </c>
      <c r="H16" s="53">
        <f>SUM(BudgetSummary!F19:'BudgetSummary'!F38)</f>
        <v>1780.0811499999998</v>
      </c>
      <c r="I16" s="10">
        <f>G16*H16</f>
        <v>54.074431855788283</v>
      </c>
      <c r="J16" s="21"/>
    </row>
    <row r="17" spans="2:10" x14ac:dyDescent="0.25">
      <c r="B17" s="1"/>
      <c r="C17" s="1"/>
    </row>
    <row r="18" spans="2:10" x14ac:dyDescent="0.25">
      <c r="B18" s="142" t="s">
        <v>222</v>
      </c>
      <c r="C18" s="142"/>
      <c r="D18" s="142"/>
      <c r="E18" s="142"/>
      <c r="F18" s="142"/>
      <c r="G18" s="142"/>
      <c r="H18" s="142"/>
      <c r="I18" s="142"/>
      <c r="J18" s="142"/>
    </row>
    <row r="19" spans="2:10" ht="30" x14ac:dyDescent="0.25">
      <c r="B19" s="26" t="s">
        <v>55</v>
      </c>
      <c r="C19" s="27" t="s">
        <v>204</v>
      </c>
      <c r="D19" s="27" t="s">
        <v>14</v>
      </c>
      <c r="E19" s="27" t="s">
        <v>21</v>
      </c>
      <c r="F19" s="28" t="s">
        <v>223</v>
      </c>
      <c r="G19" s="50" t="s">
        <v>154</v>
      </c>
      <c r="H19" s="28" t="s">
        <v>15</v>
      </c>
      <c r="I19" s="50" t="s">
        <v>155</v>
      </c>
      <c r="J19" s="29" t="s">
        <v>68</v>
      </c>
    </row>
    <row r="20" spans="2:10" x14ac:dyDescent="0.25">
      <c r="B20" s="20" t="s">
        <v>60</v>
      </c>
      <c r="C20" s="21" t="s">
        <v>224</v>
      </c>
      <c r="D20" s="21" t="s">
        <v>43</v>
      </c>
      <c r="E20" s="51">
        <v>200</v>
      </c>
      <c r="F20" s="8">
        <v>180</v>
      </c>
      <c r="G20" s="8">
        <v>280</v>
      </c>
      <c r="H20" s="56">
        <f>IF(ISBLANK(OtherOwnershipTable[[#This Row],[Crop Acres per Year]]),0,OtherOwnershipTable[[#This Row],[Units]]/OtherOwnershipTable[[#This Row],[Crop Acres per Year]])</f>
        <v>0.6428571428571429</v>
      </c>
      <c r="I20" s="10">
        <f>OtherOwnershipTable[[#This Row],[Cost/Unit]]*OtherOwnershipTable[[#This Row],[Units/Acre]]</f>
        <v>128.57142857142858</v>
      </c>
      <c r="J20" s="24"/>
    </row>
    <row r="21" spans="2:10" x14ac:dyDescent="0.25">
      <c r="B21" s="20" t="s">
        <v>61</v>
      </c>
      <c r="C21" s="21"/>
      <c r="D21" s="21" t="s">
        <v>225</v>
      </c>
      <c r="E21" s="51">
        <v>250000</v>
      </c>
      <c r="F21" s="8">
        <v>1</v>
      </c>
      <c r="G21" s="8">
        <v>1120</v>
      </c>
      <c r="H21" s="56">
        <f>IF(ISBLANK(OtherOwnershipTable[[#This Row],[Crop Acres per Year]]),0,OtherOwnershipTable[[#This Row],[Units]]/OtherOwnershipTable[[#This Row],[Crop Acres per Year]])</f>
        <v>8.9285714285714283E-4</v>
      </c>
      <c r="I21" s="10">
        <f>OtherOwnershipTable[[#This Row],[Cost/Unit]]*OtherOwnershipTable[[#This Row],[Units/Acre]]</f>
        <v>223.21428571428569</v>
      </c>
      <c r="J21" s="24"/>
    </row>
    <row r="22" spans="2:10" x14ac:dyDescent="0.25">
      <c r="B22" s="22"/>
      <c r="C22" s="23"/>
      <c r="D22" s="23"/>
      <c r="E22" s="52"/>
      <c r="F22" s="18"/>
      <c r="G22" s="18"/>
      <c r="H22" s="62">
        <f>IF(ISBLANK(OtherOwnershipTable[[#This Row],[Crop Acres per Year]]),0,OtherOwnershipTable[[#This Row],[Units]]/OtherOwnershipTable[[#This Row],[Crop Acres per Year]])</f>
        <v>0</v>
      </c>
      <c r="I22" s="14">
        <f>OtherOwnershipTable[[#This Row],[Cost/Unit]]*OtherOwnershipTable[[#This Row],[Units/Acre]]</f>
        <v>0</v>
      </c>
      <c r="J22" s="25"/>
    </row>
    <row r="23" spans="2:10" x14ac:dyDescent="0.25">
      <c r="B23" s="24" t="s">
        <v>54</v>
      </c>
      <c r="C23" s="77"/>
      <c r="D23" s="77"/>
      <c r="E23" s="77"/>
      <c r="F23" s="77"/>
      <c r="G23" s="20"/>
      <c r="H23" s="31"/>
      <c r="I23" s="14">
        <f>SUBTOTAL(109,OtherOwnershipTable[Cost per Crop Acre])</f>
        <v>351.78571428571428</v>
      </c>
      <c r="J23" s="25"/>
    </row>
  </sheetData>
  <sheetProtection algorithmName="SHA-512" hashValue="HtLcDw1CH+qR5r4msUBRBlstZzoKfGxIFyThjChh17WwEIZjyEdpDn6dFJV9McBEYgeE690Xiaj2rE3Di8s+iQ==" saltValue="jVOh1BoYNR/rrl5unhqKcg==" spinCount="100000" sheet="1" objects="1" scenarios="1"/>
  <mergeCells count="2">
    <mergeCell ref="B4:J4"/>
    <mergeCell ref="B18:J18"/>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TitleSheet</vt:lpstr>
      <vt:lpstr>BudgetSummary</vt:lpstr>
      <vt:lpstr>SeedDetail</vt:lpstr>
      <vt:lpstr>FertilizerDetail</vt:lpstr>
      <vt:lpstr>PesticideDetail</vt:lpstr>
      <vt:lpstr>MachineryDetail</vt:lpstr>
      <vt:lpstr>IrrigationDetail</vt:lpstr>
      <vt:lpstr>OtherDetail</vt:lpstr>
      <vt:lpstr>DieselFuelPrice</vt:lpstr>
      <vt:lpstr>Effective_Rate</vt:lpstr>
      <vt:lpstr>ElectricityPrice</vt:lpstr>
      <vt:lpstr>Int_Cost_Acre</vt:lpstr>
      <vt:lpstr>IrrigInterestRate</vt:lpstr>
      <vt:lpstr>IrrigLaborWage</vt:lpstr>
      <vt:lpstr>MachineInterestRate</vt:lpstr>
      <vt:lpstr>MachineLaborWage</vt:lpstr>
      <vt:lpstr>OpCostPerAcre</vt:lpstr>
      <vt:lpstr>OwnCostPerAcre</vt:lpstr>
      <vt:lpstr>PreharvestRevenuePerAcre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Athearn,Kevin R</dc:creator>
  <cp:keywords/>
  <dc:description/>
  <cp:lastModifiedBy>Athearn,Kevin R</cp:lastModifiedBy>
  <cp:revision/>
  <dcterms:created xsi:type="dcterms:W3CDTF">2017-12-20T21:54:45Z</dcterms:created>
  <dcterms:modified xsi:type="dcterms:W3CDTF">2023-01-27T19:15:23Z</dcterms:modified>
  <cp:category/>
  <cp:contentStatus/>
</cp:coreProperties>
</file>